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50" yWindow="540" windowWidth="12135" windowHeight="8640" tabRatio="852" activeTab="4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Предложение!$L$89</definedName>
    <definedName name="OFFER_METHOD">Предложение!$K$24:$K$87</definedName>
    <definedName name="OFFER_METHOD_FLAG">TEHSHEET!$L$6</definedName>
    <definedName name="OFFER_TARIFF_A_1">Предложение!$24:$30</definedName>
    <definedName name="OFFER_TARIFF_A_2">Предложение!$91:$97</definedName>
    <definedName name="OFFER_TARIFF_A_3">Предложение!$156:$162</definedName>
    <definedName name="OFFER_TARIFF_A_4">Предложение!$221:$223</definedName>
    <definedName name="OFFER_TARIFF_A_5">Предложение!$282:$284</definedName>
    <definedName name="OFFER_TARIFF_A_COLDVSNA_1">Предложение!$55:$57</definedName>
    <definedName name="OFFER_TARIFF_A_COLDVSNA_2">Предложение!$122:$124</definedName>
    <definedName name="OFFER_TARIFF_A_COLDVSNA_3">Предложение!$187:$189</definedName>
    <definedName name="OFFER_TARIFF_A_COLDVSNA_4">Предложение!$248:$250</definedName>
    <definedName name="OFFER_TARIFF_A_COLDVSNA_5">Предложение!$309:$311</definedName>
    <definedName name="OFFER_TARIFF_A_HOTVSNA_1">Предложение!$70:$72</definedName>
    <definedName name="OFFER_TARIFF_A_HOTVSNA_2">Предложение!$137:$139</definedName>
    <definedName name="OFFER_TARIFF_A_HOTVSNA_3">Предложение!$202:$204</definedName>
    <definedName name="OFFER_TARIFF_A_HOTVSNA_4">Предложение!$263:$265</definedName>
    <definedName name="OFFER_TARIFF_A_HOTVSNA_5">Предложение!$324:$326</definedName>
    <definedName name="OFFER_TARIFF_A_VOTV_1">Предложение!$79:$81</definedName>
    <definedName name="OFFER_TARIFF_A_VOTV_2">Предложение!$146:$148</definedName>
    <definedName name="OFFER_TARIFF_A_VOTV_3">Предложение!$211:$213</definedName>
    <definedName name="OFFER_TARIFF_A_VOTV_4">Предложение!$272:$274</definedName>
    <definedName name="OFFER_TARIFF_A_VOTV_5">Предложение!$333:$335</definedName>
    <definedName name="OFFER_TARIFF_B_1">Предложение!$31:$33</definedName>
    <definedName name="OFFER_TARIFF_B_2">Предложение!$98:$100</definedName>
    <definedName name="OFFER_TARIFF_B_3">Предложение!$163:$165</definedName>
    <definedName name="OFFER_TARIFF_B_4">Предложение!$224:$226</definedName>
    <definedName name="OFFER_TARIFF_B_5">Предложение!$285:$287</definedName>
    <definedName name="OFFER_TARIFF_B_COLDVSNA_1">Предложение!$58:$60</definedName>
    <definedName name="OFFER_TARIFF_B_COLDVSNA_2">Предложение!$125:$127</definedName>
    <definedName name="OFFER_TARIFF_B_COLDVSNA_3">Предложение!$190:$192</definedName>
    <definedName name="OFFER_TARIFF_B_COLDVSNA_4">Предложение!$251:$253</definedName>
    <definedName name="OFFER_TARIFF_B_COLDVSNA_5">Предложение!$312:$314</definedName>
    <definedName name="OFFER_TARIFF_B_HOTVSNA_1">Предложение!$73:$75</definedName>
    <definedName name="OFFER_TARIFF_B_HOTVSNA_2">Предложение!$140:$142</definedName>
    <definedName name="OFFER_TARIFF_B_HOTVSNA_3">Предложение!$205:$207</definedName>
    <definedName name="OFFER_TARIFF_B_HOTVSNA_4">Предложение!$266:$268</definedName>
    <definedName name="OFFER_TARIFF_B_HOTVSNA_5">Предложение!$327:$329</definedName>
    <definedName name="OFFER_TARIFF_B_VOTV_1">Предложение!$82:$84</definedName>
    <definedName name="OFFER_TARIFF_B_VOTV_2">Предложение!$149:$151</definedName>
    <definedName name="OFFER_TARIFF_B_VOTV_3">Предложение!$214:$216</definedName>
    <definedName name="OFFER_TARIFF_B_VOTV_4">Предложение!$275:$277</definedName>
    <definedName name="OFFER_TARIFF_B_VOTV_5">Предложение!$336:$338</definedName>
    <definedName name="OFFER_TARIFF_C_1">Предложение!$34:$36</definedName>
    <definedName name="OFFER_TARIFF_C_2">Предложение!$101:$103</definedName>
    <definedName name="OFFER_TARIFF_C_3">Предложение!$166:$168</definedName>
    <definedName name="OFFER_TARIFF_C_4">Предложение!$227:$229</definedName>
    <definedName name="OFFER_TARIFF_C_5">Предложение!$288:$290</definedName>
    <definedName name="OFFER_TARIFF_C_COLDVSNA_1">Предложение!$61:$63</definedName>
    <definedName name="OFFER_TARIFF_C_COLDVSNA_2">Предложение!$128:$130</definedName>
    <definedName name="OFFER_TARIFF_C_COLDVSNA_3">Предложение!$193:$195</definedName>
    <definedName name="OFFER_TARIFF_C_COLDVSNA_4">Предложение!$254:$256</definedName>
    <definedName name="OFFER_TARIFF_C_COLDVSNA_5">Предложение!$315:$317</definedName>
    <definedName name="OFFER_TARIFF_C_HOTVSNA_1">Предложение!$76:$78</definedName>
    <definedName name="OFFER_TARIFF_C_HOTVSNA_2">Предложение!$143:$145</definedName>
    <definedName name="OFFER_TARIFF_C_HOTVSNA_3">Предложение!$208:$210</definedName>
    <definedName name="OFFER_TARIFF_C_HOTVSNA_4">Предложение!$269:$271</definedName>
    <definedName name="OFFER_TARIFF_C_HOTVSNA_5">Предложение!$330:$332</definedName>
    <definedName name="OFFER_TARIFF_C_VOTV_1">Предложение!$85:$87</definedName>
    <definedName name="OFFER_TARIFF_C_VOTV_2">Предложение!$152:$154</definedName>
    <definedName name="OFFER_TARIFF_C_VOTV_3">Предложение!$217:$219</definedName>
    <definedName name="OFFER_TARIFF_C_VOTV_4">Предложение!$278:$280</definedName>
    <definedName name="OFFER_TARIFF_C_VOTV_5">Предложение!$339:$341</definedName>
    <definedName name="OFFER_TARIFF_D_1">Предложение!$37:$39</definedName>
    <definedName name="OFFER_TARIFF_D_2">Предложение!$104:$106</definedName>
    <definedName name="OFFER_TARIFF_D_3">Предложение!$169:$171</definedName>
    <definedName name="OFFER_TARIFF_D_4">Предложение!$230:$232</definedName>
    <definedName name="OFFER_TARIFF_D_5">Предложение!$291:$293</definedName>
    <definedName name="OFFER_TARIFF_D_COLDVSNA_1">Предложение!$64:$66</definedName>
    <definedName name="OFFER_TARIFF_D_COLDVSNA_2">Предложение!$131:$133</definedName>
    <definedName name="OFFER_TARIFF_D_COLDVSNA_3">Предложение!$196:$198</definedName>
    <definedName name="OFFER_TARIFF_D_COLDVSNA_4">Предложение!$257:$259</definedName>
    <definedName name="OFFER_TARIFF_D_COLDVSNA_5">Предложение!$318:$320</definedName>
    <definedName name="OFFER_TARIFF_E_COLDVSNA_1">Предложение!$67:$69</definedName>
    <definedName name="OFFER_TARIFF_E_COLDVSNA_2">Предложение!$134:$136</definedName>
    <definedName name="OFFER_TARIFF_E_COLDVSNA_3">Предложение!$199:$201</definedName>
    <definedName name="OFFER_TARIFF_E_COLDVSNA_4">Предложение!$260:$262</definedName>
    <definedName name="OFFER_TARIFF_E_COLDVSNA_5">Предложение!$321:$323</definedName>
    <definedName name="OFFER_TARIFF_E1_1">Предложение!$40:$42</definedName>
    <definedName name="OFFER_TARIFF_E1_2">Предложение!$107:$109</definedName>
    <definedName name="OFFER_TARIFF_E1_3">Предложение!$172:$174</definedName>
    <definedName name="OFFER_TARIFF_E1_4">Предложение!$233:$235</definedName>
    <definedName name="OFFER_TARIFF_E1_5">Предложение!$294:$296</definedName>
    <definedName name="OFFER_TARIFF_E2_1">Предложение!$43:$45</definedName>
    <definedName name="OFFER_TARIFF_E2_2">Предложение!$110:$112</definedName>
    <definedName name="OFFER_TARIFF_E2_3">Предложение!$175:$177</definedName>
    <definedName name="OFFER_TARIFF_E2_4">Предложение!$236:$238</definedName>
    <definedName name="OFFER_TARIFF_E2_5">Предложение!$297:$299</definedName>
    <definedName name="OFFER_TARIFF_F_1">Предложение!$46:$48</definedName>
    <definedName name="OFFER_TARIFF_F_2">Предложение!$113:$115</definedName>
    <definedName name="OFFER_TARIFF_F_3">Предложение!$178:$180</definedName>
    <definedName name="OFFER_TARIFF_F_4">Предложение!$239:$241</definedName>
    <definedName name="OFFER_TARIFF_F_5">Предложение!$300:$302</definedName>
    <definedName name="OFFER_TARIFF_G_1">Предложение!$49:$51</definedName>
    <definedName name="OFFER_TARIFF_G_2">Предложение!$116:$118</definedName>
    <definedName name="OFFER_TARIFF_G_3">Предложение!$181:$183</definedName>
    <definedName name="OFFER_TARIFF_G_4">Предложение!$242:$244</definedName>
    <definedName name="OFFER_TARIFF_G_5">Предложение!$303:$305</definedName>
    <definedName name="OFFER_TARIFF_H_1">Предложение!$52:$54</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Предложение!$G$57</definedName>
    <definedName name="pIns_PT_VTAR_A_COLDVSNA_OFFER_2">Предложение!$G$124</definedName>
    <definedName name="pIns_PT_VTAR_A_COLDVSNA_OFFER_3">Предложение!$G$189</definedName>
    <definedName name="pIns_PT_VTAR_A_COLDVSNA_OFFER_4">Предложение!$G$250</definedName>
    <definedName name="pIns_PT_VTAR_A_COLDVSNA_OFFER_5">Предложение!$G$311</definedName>
    <definedName name="pIns_PT_VTAR_A_COLDVSNA_OFFER5">Предложение!$G$311</definedName>
    <definedName name="pIns_PT_VTAR_A_HOTVSNA">'ГВС. Т-гор.вода'!$T$54</definedName>
    <definedName name="pIns_PT_VTAR_A_HOTVSNA_OFFER_1">Предложение!$G$72</definedName>
    <definedName name="pIns_PT_VTAR_A_HOTVSNA_OFFER_2">Предложение!$G$139</definedName>
    <definedName name="pIns_PT_VTAR_A_HOTVSNA_OFFER_3">Предложение!$G$204</definedName>
    <definedName name="pIns_PT_VTAR_A_HOTVSNA_OFFER_4">Предложение!$G$265</definedName>
    <definedName name="pIns_PT_VTAR_A_HOTVSNA_OFFER_5">Предложение!$G$326</definedName>
    <definedName name="pIns_PT_VTAR_A_OFFER_1">Предложение!$G$30</definedName>
    <definedName name="pIns_PT_VTAR_A_OFFER_2">Предложение!$G$97</definedName>
    <definedName name="pIns_PT_VTAR_A_OFFER_3">Предложение!$G$162</definedName>
    <definedName name="pIns_PT_VTAR_A_OFFER_4">Предложение!$G$223</definedName>
    <definedName name="pIns_PT_VTAR_A_OFFER_5">Предложение!$G$284</definedName>
    <definedName name="pIns_PT_VTAR_A_VOTV">'ВО. Т-во'!$T$53</definedName>
    <definedName name="pIns_PT_VTAR_A_VOTV_OFFER_1">Предложение!$G$81</definedName>
    <definedName name="pIns_PT_VTAR_A_VOTV_OFFER_2">Предложение!$G$148</definedName>
    <definedName name="pIns_PT_VTAR_A_VOTV_OFFER_3">Предложение!$G$213</definedName>
    <definedName name="pIns_PT_VTAR_A_VOTV_OFFER_4">Предложение!$G$274</definedName>
    <definedName name="pIns_PT_VTAR_A_VOTV_OFFER_5">Предложение!$G$335</definedName>
    <definedName name="pIns_PT_VTAR_B">'ТС. Т-ТЭ | ТСО'!$T$57</definedName>
    <definedName name="pIns_PT_VTAR_B_COLDVSNA">'ХВС. Т-тех'!$T$53</definedName>
    <definedName name="pIns_PT_VTAR_B_COLDVSNA_OFFER_1">Предложение!$G$60</definedName>
    <definedName name="pIns_PT_VTAR_B_COLDVSNA_OFFER_2">Предложение!$G$127</definedName>
    <definedName name="pIns_PT_VTAR_B_COLDVSNA_OFFER_3">Предложение!$G$192</definedName>
    <definedName name="pIns_PT_VTAR_B_COLDVSNA_OFFER_4">Предложение!$G$253</definedName>
    <definedName name="pIns_PT_VTAR_B_COLDVSNA_OFFER_5">Предложение!$G$314</definedName>
    <definedName name="pIns_PT_VTAR_B_HOTVSNA">'ГВС. Т-транс'!$T$54</definedName>
    <definedName name="pIns_PT_VTAR_B_HOTVSNA_OFFER_1">Предложение!$G$75</definedName>
    <definedName name="pIns_PT_VTAR_B_HOTVSNA_OFFER_2">Предложение!$G$142</definedName>
    <definedName name="pIns_PT_VTAR_B_HOTVSNA_OFFER_3">Предложение!$G$207</definedName>
    <definedName name="pIns_PT_VTAR_B_HOTVSNA_OFFER_4">Предложение!$G$268</definedName>
    <definedName name="pIns_PT_VTAR_B_HOTVSNA_OFFER_5">Предложение!$G$329</definedName>
    <definedName name="pIns_PT_VTAR_B_OFFER_1">Предложение!$G$33</definedName>
    <definedName name="pIns_PT_VTAR_B_OFFER_2">Предложение!$G$100</definedName>
    <definedName name="pIns_PT_VTAR_B_OFFER_3">Предложение!$G$165</definedName>
    <definedName name="pIns_PT_VTAR_B_OFFER_4">Предложение!$G$226</definedName>
    <definedName name="pIns_PT_VTAR_B_OFFER_5">Предложение!$G$287</definedName>
    <definedName name="pIns_PT_VTAR_B_VOTV">'ВО. Т-транс'!$T$53</definedName>
    <definedName name="pIns_PT_VTAR_B_VOTV_OFFER_1">Предложение!$G$84</definedName>
    <definedName name="pIns_PT_VTAR_B_VOTV_OFFER_2">Предложение!$G$151</definedName>
    <definedName name="pIns_PT_VTAR_B_VOTV_OFFER_3">Предложение!$G$216</definedName>
    <definedName name="pIns_PT_VTAR_B_VOTV_OFFER_4">Предложение!$G$277</definedName>
    <definedName name="pIns_PT_VTAR_B_VOTV_OFFER_5">Предложение!$G$338</definedName>
    <definedName name="pIns_PT_VTAR_C">'ТС. Т-ТН'!$T$57</definedName>
    <definedName name="pIns_PT_VTAR_C_COLDVSNA">'ХВС. Т-транс'!$T$53</definedName>
    <definedName name="pIns_PT_VTAR_C_COLDVSNA_OFFER_1">Предложение!$G$63</definedName>
    <definedName name="pIns_PT_VTAR_C_COLDVSNA_OFFER_2">Предложение!$G$130</definedName>
    <definedName name="pIns_PT_VTAR_C_COLDVSNA_OFFER_3">Предложение!$G$195</definedName>
    <definedName name="pIns_PT_VTAR_C_COLDVSNA_OFFER_4">Предложение!$G$256</definedName>
    <definedName name="pIns_PT_VTAR_C_COLDVSNA_OFFER_5">Предложение!$G$317</definedName>
    <definedName name="pIns_PT_VTAR_C_HOTVSNA">'ГВС. Т-подкл'!$T$63</definedName>
    <definedName name="pIns_PT_VTAR_C_HOTVSNA_OFFER_1">Предложение!$G$78</definedName>
    <definedName name="pIns_PT_VTAR_C_HOTVSNA_OFFER_2">Предложение!$G$145</definedName>
    <definedName name="pIns_PT_VTAR_C_HOTVSNA_OFFER_3">Предложение!$G$210</definedName>
    <definedName name="pIns_PT_VTAR_C_HOTVSNA_OFFER_4">Предложение!$G$271</definedName>
    <definedName name="pIns_PT_VTAR_C_HOTVSNA_OFFER_5">Предложение!$G$332</definedName>
    <definedName name="pIns_PT_VTAR_C_OFFER_1">Предложение!$G$36</definedName>
    <definedName name="pIns_PT_VTAR_C_OFFER_2">Предложение!$G$103</definedName>
    <definedName name="pIns_PT_VTAR_C_OFFER_3">Предложение!$G$168</definedName>
    <definedName name="pIns_PT_VTAR_C_OFFER_4">Предложение!$G$229</definedName>
    <definedName name="pIns_PT_VTAR_C_OFFER_5">Предложение!$G$290</definedName>
    <definedName name="pIns_PT_VTAR_C_VOTV">'ВО. Т-подкл'!$T$63</definedName>
    <definedName name="pIns_PT_VTAR_C_VOTV_OFFER_1">Предложение!$G$87</definedName>
    <definedName name="pIns_PT_VTAR_C_VOTV_OFFER_2">Предложение!$G$154</definedName>
    <definedName name="pIns_PT_VTAR_C_VOTV_OFFER_3">Предложение!$G$219</definedName>
    <definedName name="pIns_PT_VTAR_C_VOTV_OFFER_4">Предложение!$G$280</definedName>
    <definedName name="pIns_PT_VTAR_C_VOTV_OFFER_5">Предложение!$G$341</definedName>
    <definedName name="pIns_PT_VTAR_D">'ТС. Т-гор.вода'!$V$65</definedName>
    <definedName name="pIns_PT_VTAR_D_COLDVSNA">'ХВС. Т-подвоз'!$T$53</definedName>
    <definedName name="pIns_PT_VTAR_D_COLDVSNA_OFFER_1">Предложение!$G$66</definedName>
    <definedName name="pIns_PT_VTAR_D_COLDVSNA_OFFER_2">Предложение!$G$133</definedName>
    <definedName name="pIns_PT_VTAR_D_COLDVSNA_OFFER_3">Предложение!$G$198</definedName>
    <definedName name="pIns_PT_VTAR_D_COLDVSNA_OFFER_4">Предложение!$G$259</definedName>
    <definedName name="pIns_PT_VTAR_D_COLDVSNA_OFFER_5">Предложение!$G$320</definedName>
    <definedName name="pIns_PT_VTAR_D_OFFER_1">Предложение!$G$39</definedName>
    <definedName name="pIns_PT_VTAR_D_OFFER_2">Предложение!$G$106</definedName>
    <definedName name="pIns_PT_VTAR_D_OFFER_3">Предложение!$G$171</definedName>
    <definedName name="pIns_PT_VTAR_D_OFFER_4">Предложение!$G$232</definedName>
    <definedName name="pIns_PT_VTAR_D_OFFER_5">Предложение!$G$293</definedName>
    <definedName name="pIns_PT_VTAR_E_COLDVSNA">'ХВС. Т-подкл'!$T$63</definedName>
    <definedName name="pIns_PT_VTAR_E_COLDVSNA_OFFER_1">Предложение!$G$69</definedName>
    <definedName name="pIns_PT_VTAR_E_COLDVSNA_OFFER_2">Предложение!$G$136</definedName>
    <definedName name="pIns_PT_VTAR_E_COLDVSNA_OFFER_3">Предложение!$G$201</definedName>
    <definedName name="pIns_PT_VTAR_E_COLDVSNA_OFFER_4">Предложение!$G$262</definedName>
    <definedName name="pIns_PT_VTAR_E_COLDVSNA_OFFER_5">Предложение!$G$323</definedName>
    <definedName name="pIns_PT_VTAR_E1">'ТС. Т-передача ТЭ'!$T$57</definedName>
    <definedName name="pIns_PT_VTAR_E1_OFFER_1">Предложение!$G$42</definedName>
    <definedName name="pIns_PT_VTAR_E1_OFFER_2">Предложение!$G$109</definedName>
    <definedName name="pIns_PT_VTAR_E1_OFFER_3">Предложение!$G$174</definedName>
    <definedName name="pIns_PT_VTAR_E1_OFFER_4">Предложение!$G$235</definedName>
    <definedName name="pIns_PT_VTAR_E1_OFFER_5">Предложение!$G$296</definedName>
    <definedName name="pIns_PT_VTAR_E2">'ТС. Т-передача ТН'!$T$57</definedName>
    <definedName name="pIns_PT_VTAR_E2_OFFER_1">Предложение!$G$45</definedName>
    <definedName name="pIns_PT_VTAR_E2_OFFER_2">Предложение!$G$112</definedName>
    <definedName name="pIns_PT_VTAR_E2_OFFER_3">Предложение!$G$177</definedName>
    <definedName name="pIns_PT_VTAR_E2_OFFER_4">Предложение!$G$238</definedName>
    <definedName name="pIns_PT_VTAR_E2_OFFER_5">Предложение!$G$299</definedName>
    <definedName name="pIns_PT_VTAR_F">'ТС. Резерв мощности'!$T$57</definedName>
    <definedName name="pIns_PT_VTAR_F_OFFER_1">Предложение!$G$48</definedName>
    <definedName name="pIns_PT_VTAR_F_OFFER_2">Предложение!$G$115</definedName>
    <definedName name="pIns_PT_VTAR_F_OFFER_3">Предложение!$G$180</definedName>
    <definedName name="pIns_PT_VTAR_F_OFFER_4">Предложение!$G$241</definedName>
    <definedName name="pIns_PT_VTAR_F_OFFER_5">Предложение!$G$302</definedName>
    <definedName name="pIns_PT_VTAR_G">'ТС. Т-подкл'!$T$62</definedName>
    <definedName name="pIns_PT_VTAR_G_OFFER_1">Предложение!$G$51</definedName>
    <definedName name="pIns_PT_VTAR_G_OFFER_2">Предложение!$G$118</definedName>
    <definedName name="pIns_PT_VTAR_G_OFFER_3">Предложение!$G$183</definedName>
    <definedName name="pIns_PT_VTAR_G_OFFER_4">Предложение!$G$244</definedName>
    <definedName name="pIns_PT_VTAR_G_OFFER_5">Предложение!$G$305</definedName>
    <definedName name="pIns_PT_VTAR_H">'ТС. Т-подкл(инд)'!$T$56</definedName>
    <definedName name="pIns_PT_VTAR_H_OFFER_1">Предложение!$G$54</definedName>
    <definedName name="pIns_PT_VTAR_H_OFFER_2">Предложение!$G$121</definedName>
    <definedName name="pIns_PT_VTAR_H_OFFER_3">Предложение!$G$186</definedName>
    <definedName name="pIns_PT_VTAR_H_OFFER_4">Предложение!$G$247</definedName>
    <definedName name="pIns_PT_VTAR_H_OFFER_5">Предложение!$G$308</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&gt;=25МВт'!$DF$39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Предложение!$L$342</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Предложение!$L$342</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&gt;=25МВт'!$DF$58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L101" i="63"/>
  <c r="K101" i="63"/>
  <c r="N101" i="63" s="1"/>
  <c r="J101" i="63"/>
  <c r="M101" i="63" s="1"/>
  <c r="I101" i="63"/>
  <c r="N100" i="63"/>
  <c r="M100" i="63"/>
  <c r="K100" i="63"/>
  <c r="J100" i="63"/>
  <c r="I100" i="63"/>
  <c r="L100" i="63" s="1"/>
  <c r="M99" i="63"/>
  <c r="L99" i="63"/>
  <c r="K99" i="63"/>
  <c r="N99" i="63" s="1"/>
  <c r="J99" i="63"/>
  <c r="I99" i="63"/>
  <c r="N98" i="63"/>
  <c r="M98" i="63"/>
  <c r="K98" i="63"/>
  <c r="J98" i="63"/>
  <c r="I98" i="63"/>
  <c r="L98" i="63" s="1"/>
  <c r="M97" i="63"/>
  <c r="L97" i="63"/>
  <c r="K97" i="63"/>
  <c r="N97" i="63" s="1"/>
  <c r="J97" i="63"/>
  <c r="I97" i="63"/>
  <c r="N96" i="63"/>
  <c r="M96" i="63"/>
  <c r="K96" i="63"/>
  <c r="J96" i="63"/>
  <c r="I96" i="63"/>
  <c r="L96" i="63" s="1"/>
  <c r="M95" i="63"/>
  <c r="L95" i="63"/>
  <c r="K95" i="63"/>
  <c r="N95" i="63" s="1"/>
  <c r="J95" i="63"/>
  <c r="I95" i="63"/>
  <c r="N94" i="63"/>
  <c r="M94" i="63"/>
  <c r="K94" i="63"/>
  <c r="J94" i="63"/>
  <c r="I94" i="63"/>
  <c r="L94" i="63" s="1"/>
  <c r="M93" i="63"/>
  <c r="L93" i="63"/>
  <c r="K93" i="63"/>
  <c r="N93" i="63" s="1"/>
  <c r="J93" i="63"/>
  <c r="I93" i="63"/>
  <c r="N92" i="63"/>
  <c r="M92" i="63"/>
  <c r="K92" i="63"/>
  <c r="J92" i="63"/>
  <c r="I92" i="63"/>
  <c r="L92" i="63" s="1"/>
  <c r="M91" i="63"/>
  <c r="L91" i="63"/>
  <c r="K91" i="63"/>
  <c r="N91" i="63" s="1"/>
  <c r="J91" i="63"/>
  <c r="I91" i="63"/>
  <c r="N90" i="63"/>
  <c r="M90" i="63"/>
  <c r="K90" i="63"/>
  <c r="J90" i="63"/>
  <c r="I90" i="63"/>
  <c r="L90" i="63" s="1"/>
  <c r="M89" i="63"/>
  <c r="L89" i="63"/>
  <c r="K89" i="63"/>
  <c r="N89" i="63" s="1"/>
  <c r="J89" i="63"/>
  <c r="I89" i="63"/>
  <c r="N88" i="63"/>
  <c r="M88" i="63"/>
  <c r="K88" i="63"/>
  <c r="J88" i="63"/>
  <c r="I88" i="63"/>
  <c r="L88" i="63" s="1"/>
  <c r="M87" i="63"/>
  <c r="L87" i="63"/>
  <c r="K87" i="63"/>
  <c r="N87" i="63" s="1"/>
  <c r="J87" i="63"/>
  <c r="I87" i="63"/>
  <c r="N86" i="63"/>
  <c r="M86" i="63"/>
  <c r="K86" i="63"/>
  <c r="J86" i="63"/>
  <c r="I86" i="63"/>
  <c r="L86" i="63" s="1"/>
  <c r="M85" i="63"/>
  <c r="L85" i="63"/>
  <c r="K85" i="63"/>
  <c r="N85" i="63" s="1"/>
  <c r="J85" i="63"/>
  <c r="I85" i="63"/>
  <c r="N84" i="63"/>
  <c r="M84" i="63"/>
  <c r="K84" i="63"/>
  <c r="J84" i="63"/>
  <c r="I84" i="63"/>
  <c r="L84" i="63" s="1"/>
  <c r="M83" i="63"/>
  <c r="L83" i="63"/>
  <c r="K83" i="63"/>
  <c r="N83" i="63" s="1"/>
  <c r="J83" i="63"/>
  <c r="I83" i="63"/>
  <c r="N82" i="63"/>
  <c r="M82" i="63"/>
  <c r="K82" i="63"/>
  <c r="J82" i="63"/>
  <c r="I82" i="63"/>
  <c r="L82" i="63" s="1"/>
  <c r="M81" i="63"/>
  <c r="L81" i="63"/>
  <c r="K81" i="63"/>
  <c r="N81" i="63" s="1"/>
  <c r="J81" i="63"/>
  <c r="I81" i="63"/>
  <c r="N80" i="63"/>
  <c r="M80" i="63"/>
  <c r="K80" i="63"/>
  <c r="J80" i="63"/>
  <c r="I80" i="63"/>
  <c r="L80" i="63" s="1"/>
  <c r="M79" i="63"/>
  <c r="L79" i="63"/>
  <c r="K79" i="63"/>
  <c r="N79" i="63" s="1"/>
  <c r="J79" i="63"/>
  <c r="I79" i="63"/>
  <c r="N78" i="63"/>
  <c r="M78" i="63"/>
  <c r="K78" i="63"/>
  <c r="J78" i="63"/>
  <c r="I78" i="63"/>
  <c r="L78" i="63" s="1"/>
  <c r="M77" i="63"/>
  <c r="L77" i="63"/>
  <c r="K77" i="63"/>
  <c r="N77" i="63" s="1"/>
  <c r="J77" i="63"/>
  <c r="I77" i="63"/>
  <c r="N76" i="63"/>
  <c r="M76" i="63"/>
  <c r="K76" i="63"/>
  <c r="J76" i="63"/>
  <c r="I76" i="63"/>
  <c r="L76" i="63" s="1"/>
  <c r="M75" i="63"/>
  <c r="L75" i="63"/>
  <c r="K75" i="63"/>
  <c r="N75" i="63" s="1"/>
  <c r="J75" i="63"/>
  <c r="I75" i="63"/>
  <c r="N74" i="63"/>
  <c r="M74" i="63"/>
  <c r="K74" i="63"/>
  <c r="J74" i="63"/>
  <c r="I74" i="63"/>
  <c r="L74" i="63" s="1"/>
  <c r="M73" i="63"/>
  <c r="L73" i="63"/>
  <c r="K73" i="63"/>
  <c r="N73" i="63" s="1"/>
  <c r="J73" i="63"/>
  <c r="I73" i="63"/>
  <c r="N72" i="63"/>
  <c r="M72" i="63"/>
  <c r="K72" i="63"/>
  <c r="J72" i="63"/>
  <c r="I72" i="63"/>
  <c r="L72" i="63" s="1"/>
  <c r="M71" i="63"/>
  <c r="L71" i="63"/>
  <c r="K71" i="63"/>
  <c r="N71" i="63" s="1"/>
  <c r="J71" i="63"/>
  <c r="I71" i="63"/>
  <c r="N70" i="63"/>
  <c r="M70" i="63"/>
  <c r="K70" i="63"/>
  <c r="J70" i="63"/>
  <c r="I70" i="63"/>
  <c r="L70" i="63" s="1"/>
  <c r="M69" i="63"/>
  <c r="L69" i="63"/>
  <c r="K69" i="63"/>
  <c r="N69" i="63" s="1"/>
  <c r="J69" i="63"/>
  <c r="I69" i="63"/>
  <c r="N68" i="63"/>
  <c r="M68" i="63"/>
  <c r="K68" i="63"/>
  <c r="J68" i="63"/>
  <c r="I68" i="63"/>
  <c r="L68" i="63" s="1"/>
  <c r="M67" i="63"/>
  <c r="L67" i="63"/>
  <c r="K67" i="63"/>
  <c r="N67" i="63" s="1"/>
  <c r="J67" i="63"/>
  <c r="I67" i="63"/>
  <c r="N66" i="63"/>
  <c r="M66" i="63"/>
  <c r="K66" i="63"/>
  <c r="J66" i="63"/>
  <c r="I66" i="63"/>
  <c r="L66" i="63" s="1"/>
  <c r="M65" i="63"/>
  <c r="L65" i="63"/>
  <c r="K65" i="63"/>
  <c r="N65" i="63" s="1"/>
  <c r="J65" i="63"/>
  <c r="I65" i="63"/>
  <c r="N64" i="63"/>
  <c r="M64" i="63"/>
  <c r="K64" i="63"/>
  <c r="J64" i="63"/>
  <c r="I64" i="63"/>
  <c r="L64" i="63" s="1"/>
  <c r="M63" i="63"/>
  <c r="L63" i="63"/>
  <c r="K63" i="63"/>
  <c r="N63" i="63" s="1"/>
  <c r="J63" i="63"/>
  <c r="I63" i="63"/>
  <c r="N62" i="63"/>
  <c r="M62" i="63"/>
  <c r="K62" i="63"/>
  <c r="J62" i="63"/>
  <c r="I62" i="63"/>
  <c r="L62" i="63" s="1"/>
  <c r="M61" i="63"/>
  <c r="L61" i="63"/>
  <c r="K61" i="63"/>
  <c r="N61" i="63" s="1"/>
  <c r="J61" i="63"/>
  <c r="I61" i="63"/>
  <c r="N60" i="63"/>
  <c r="M60" i="63"/>
  <c r="K60" i="63"/>
  <c r="J60" i="63"/>
  <c r="I60" i="63"/>
  <c r="L60" i="63" s="1"/>
  <c r="M59" i="63"/>
  <c r="L59" i="63"/>
  <c r="K59" i="63"/>
  <c r="N59" i="63" s="1"/>
  <c r="J59" i="63"/>
  <c r="I59" i="63"/>
  <c r="T58" i="63"/>
  <c r="N58" i="63"/>
  <c r="L58" i="63"/>
  <c r="K58" i="63"/>
  <c r="J58" i="63"/>
  <c r="M58" i="63" s="1"/>
  <c r="I58" i="63"/>
  <c r="T57" i="63"/>
  <c r="N57" i="63"/>
  <c r="M57" i="63"/>
  <c r="K57" i="63"/>
  <c r="J57" i="63"/>
  <c r="I57" i="63"/>
  <c r="L57" i="63" s="1"/>
  <c r="T56" i="63"/>
  <c r="N56" i="63"/>
  <c r="M56" i="63"/>
  <c r="L56" i="63"/>
  <c r="K56" i="63"/>
  <c r="J56" i="63"/>
  <c r="I56" i="63"/>
  <c r="T55" i="63"/>
  <c r="J55" i="63" s="1"/>
  <c r="M55" i="63" s="1"/>
  <c r="L55" i="63"/>
  <c r="K55" i="63"/>
  <c r="N55" i="63" s="1"/>
  <c r="I55" i="63"/>
  <c r="N54" i="63"/>
  <c r="M54" i="63"/>
  <c r="K54" i="63"/>
  <c r="J54" i="63"/>
  <c r="I54" i="63"/>
  <c r="L54" i="63" s="1"/>
  <c r="M53" i="63"/>
  <c r="L53" i="63"/>
  <c r="K53" i="63"/>
  <c r="N53" i="63" s="1"/>
  <c r="J53" i="63"/>
  <c r="I53" i="63"/>
  <c r="N52" i="63"/>
  <c r="K52" i="63"/>
  <c r="J52" i="63"/>
  <c r="M52" i="63" s="1"/>
  <c r="I52" i="63"/>
  <c r="L52" i="63" s="1"/>
  <c r="M51" i="63"/>
  <c r="L51" i="63"/>
  <c r="K51" i="63"/>
  <c r="N51" i="63" s="1"/>
  <c r="J51" i="63"/>
  <c r="I51" i="63"/>
  <c r="N50" i="63"/>
  <c r="M50" i="63"/>
  <c r="K50" i="63"/>
  <c r="J50" i="63"/>
  <c r="I50" i="63"/>
  <c r="L50" i="63" s="1"/>
  <c r="M49" i="63"/>
  <c r="L49" i="63"/>
  <c r="K49" i="63"/>
  <c r="N49" i="63" s="1"/>
  <c r="J49" i="63"/>
  <c r="I49" i="63"/>
  <c r="N48" i="63"/>
  <c r="K48" i="63"/>
  <c r="J48" i="63"/>
  <c r="M48" i="63" s="1"/>
  <c r="I48" i="63"/>
  <c r="L48" i="63" s="1"/>
  <c r="M47" i="63"/>
  <c r="L47" i="63"/>
  <c r="K47" i="63"/>
  <c r="N47" i="63" s="1"/>
  <c r="J47" i="63"/>
  <c r="I47" i="63"/>
  <c r="T46" i="63"/>
  <c r="N46" i="63"/>
  <c r="L46" i="63"/>
  <c r="K46" i="63"/>
  <c r="J46" i="63"/>
  <c r="M46" i="63" s="1"/>
  <c r="I46" i="63"/>
  <c r="N45" i="63"/>
  <c r="M45" i="63"/>
  <c r="L45" i="63"/>
  <c r="K45" i="63"/>
  <c r="J45" i="63"/>
  <c r="I45" i="63"/>
  <c r="N44" i="63"/>
  <c r="L44" i="63"/>
  <c r="K44" i="63"/>
  <c r="J44" i="63"/>
  <c r="M44" i="63" s="1"/>
  <c r="I44" i="63"/>
  <c r="N43" i="63"/>
  <c r="K43" i="63"/>
  <c r="J43" i="63"/>
  <c r="M43" i="63" s="1"/>
  <c r="I43" i="63"/>
  <c r="L43" i="63" s="1"/>
  <c r="L42" i="63"/>
  <c r="K42" i="63"/>
  <c r="N42" i="63" s="1"/>
  <c r="J42" i="63"/>
  <c r="M42" i="63" s="1"/>
  <c r="I42" i="63"/>
  <c r="N41" i="63"/>
  <c r="M41" i="63"/>
  <c r="K41" i="63"/>
  <c r="J41" i="63"/>
  <c r="I41" i="63"/>
  <c r="L41" i="63" s="1"/>
  <c r="L40" i="63"/>
  <c r="K40" i="63"/>
  <c r="N40" i="63" s="1"/>
  <c r="J40" i="63"/>
  <c r="M40" i="63" s="1"/>
  <c r="I40" i="63"/>
  <c r="N39" i="63"/>
  <c r="M39" i="63"/>
  <c r="L39" i="63"/>
  <c r="K39" i="63"/>
  <c r="J39" i="63"/>
  <c r="I39" i="63"/>
  <c r="N38" i="63"/>
  <c r="L38" i="63"/>
  <c r="K38" i="63"/>
  <c r="J38" i="63"/>
  <c r="M38" i="63" s="1"/>
  <c r="I38" i="63"/>
  <c r="N37" i="63"/>
  <c r="L37" i="63"/>
  <c r="K37" i="63"/>
  <c r="J37" i="63"/>
  <c r="M37" i="63" s="1"/>
  <c r="I37" i="63"/>
  <c r="N36" i="63"/>
  <c r="L36" i="63"/>
  <c r="K36" i="63"/>
  <c r="J36" i="63"/>
  <c r="M36" i="63" s="1"/>
  <c r="I36" i="63"/>
  <c r="T35" i="63"/>
  <c r="K35" i="63"/>
  <c r="N35" i="63" s="1"/>
  <c r="J35" i="63"/>
  <c r="M35" i="63" s="1"/>
  <c r="I35" i="63"/>
  <c r="L35" i="63" s="1"/>
  <c r="M34" i="63"/>
  <c r="L34" i="63"/>
  <c r="K34" i="63"/>
  <c r="N34" i="63" s="1"/>
  <c r="J34" i="63"/>
  <c r="I34" i="63"/>
  <c r="T33" i="63"/>
  <c r="N33" i="63"/>
  <c r="L33" i="63"/>
  <c r="K33" i="63"/>
  <c r="J33" i="63"/>
  <c r="M33" i="63" s="1"/>
  <c r="I33" i="63"/>
  <c r="T32" i="63"/>
  <c r="M32" i="63"/>
  <c r="K32" i="63"/>
  <c r="N32" i="63" s="1"/>
  <c r="J32" i="63"/>
  <c r="I32" i="63"/>
  <c r="L32" i="63" s="1"/>
  <c r="M31" i="63"/>
  <c r="L31" i="63"/>
  <c r="K31" i="63"/>
  <c r="N31" i="63" s="1"/>
  <c r="J31" i="63"/>
  <c r="I31" i="63"/>
  <c r="N30" i="63"/>
  <c r="K30" i="63"/>
  <c r="J30" i="63"/>
  <c r="M30" i="63" s="1"/>
  <c r="I30" i="63"/>
  <c r="L30" i="63" s="1"/>
  <c r="T29" i="63"/>
  <c r="N29" i="63"/>
  <c r="M29" i="63"/>
  <c r="L29" i="63"/>
  <c r="K29" i="63"/>
  <c r="J29" i="63"/>
  <c r="I29" i="63"/>
  <c r="N28" i="63"/>
  <c r="L28" i="63"/>
  <c r="K28" i="63"/>
  <c r="J28" i="63"/>
  <c r="M28" i="63" s="1"/>
  <c r="I28" i="63"/>
  <c r="N27" i="63"/>
  <c r="L27" i="63"/>
  <c r="K27" i="63"/>
  <c r="J27" i="63"/>
  <c r="M27" i="63" s="1"/>
  <c r="I27" i="63"/>
  <c r="T26" i="63"/>
  <c r="J26" i="63" s="1"/>
  <c r="M26" i="63"/>
  <c r="K26" i="63"/>
  <c r="N26" i="63" s="1"/>
  <c r="I26" i="63"/>
  <c r="L26" i="63" s="1"/>
  <c r="N25" i="63"/>
  <c r="K25" i="63"/>
  <c r="J25" i="63"/>
  <c r="M25" i="63" s="1"/>
  <c r="I25" i="63"/>
  <c r="L25" i="63" s="1"/>
  <c r="M24" i="63"/>
  <c r="K24" i="63"/>
  <c r="N24" i="63" s="1"/>
  <c r="J24" i="63"/>
  <c r="I24" i="63"/>
  <c r="L24" i="63" s="1"/>
  <c r="M23" i="63"/>
  <c r="K23" i="63"/>
  <c r="N23" i="63" s="1"/>
  <c r="J23" i="63"/>
  <c r="I23" i="63"/>
  <c r="L23" i="63" s="1"/>
  <c r="M22" i="63"/>
  <c r="L22" i="63"/>
  <c r="K22" i="63"/>
  <c r="N22" i="63" s="1"/>
  <c r="J22" i="63"/>
  <c r="I22" i="63"/>
  <c r="N21" i="63"/>
  <c r="K21" i="63"/>
  <c r="J21" i="63"/>
  <c r="M21" i="63" s="1"/>
  <c r="F33" i="33" s="1"/>
  <c r="I21" i="63"/>
  <c r="L21" i="63" s="1"/>
  <c r="M20" i="63"/>
  <c r="K20" i="63"/>
  <c r="N20" i="63" s="1"/>
  <c r="J20" i="63"/>
  <c r="I20" i="63"/>
  <c r="L20" i="63" s="1"/>
  <c r="M19" i="63"/>
  <c r="K19" i="63"/>
  <c r="N19" i="63" s="1"/>
  <c r="J19" i="63"/>
  <c r="I19" i="63"/>
  <c r="L19" i="63" s="1"/>
  <c r="M18" i="63"/>
  <c r="L18" i="63"/>
  <c r="K18" i="63"/>
  <c r="N18" i="63" s="1"/>
  <c r="J18" i="63"/>
  <c r="I18" i="63"/>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s="1"/>
  <c r="F2" i="55"/>
  <c r="P10" i="54" a="1"/>
  <c r="P10" i="54" s="1"/>
  <c r="K8" i="54"/>
  <c r="J8" i="54"/>
  <c r="L10" i="54" s="1"/>
  <c r="R10" i="54" s="1"/>
  <c r="G8" i="54"/>
  <c r="F8" i="54"/>
  <c r="R2" i="54"/>
  <c r="P2" i="54" a="1"/>
  <c r="P2" i="54" s="1"/>
  <c r="F2" i="54"/>
  <c r="N9" i="53" a="1"/>
  <c r="N9" i="53" s="1"/>
  <c r="J9" i="53"/>
  <c r="P9" i="53" s="1"/>
  <c r="E5" i="53"/>
  <c r="P2" i="53"/>
  <c r="N2" i="53" a="1"/>
  <c r="N2" i="53"/>
  <c r="G24" i="52"/>
  <c r="G12" i="52"/>
  <c r="F12" i="52"/>
  <c r="F10" i="54" s="1"/>
  <c r="E12" i="52"/>
  <c r="D6" i="52"/>
  <c r="BA115" i="51"/>
  <c r="BA114" i="51"/>
  <c r="BA113" i="51"/>
  <c r="BA102" i="51"/>
  <c r="BA100" i="51"/>
  <c r="BA99" i="51"/>
  <c r="I53" i="51"/>
  <c r="I52" i="51"/>
  <c r="H52" i="51"/>
  <c r="G52" i="51"/>
  <c r="I51" i="51"/>
  <c r="H51" i="51"/>
  <c r="G51" i="51"/>
  <c r="E32" i="51" s="1"/>
  <c r="I50" i="51"/>
  <c r="I49" i="51"/>
  <c r="I48" i="51"/>
  <c r="I47" i="51"/>
  <c r="I46" i="51"/>
  <c r="K45" i="51"/>
  <c r="I45" i="51"/>
  <c r="G44" i="51"/>
  <c r="H53" i="51" s="1"/>
  <c r="G36" i="51"/>
  <c r="F36" i="51"/>
  <c r="J52" i="51" s="1"/>
  <c r="F32" i="51"/>
  <c r="F29" i="51"/>
  <c r="L5" i="51"/>
  <c r="L4" i="51"/>
  <c r="L3" i="51"/>
  <c r="I14" i="50"/>
  <c r="G14" i="50"/>
  <c r="G11" i="50"/>
  <c r="G10" i="50"/>
  <c r="G9" i="50"/>
  <c r="D6" i="50"/>
  <c r="E13" i="49"/>
  <c r="H12" i="49"/>
  <c r="E12" i="49"/>
  <c r="E11" i="49"/>
  <c r="E10" i="49"/>
  <c r="D6" i="49"/>
  <c r="D5" i="49"/>
  <c r="M282" i="48"/>
  <c r="F281" i="48"/>
  <c r="F220" i="48"/>
  <c r="M156" i="48"/>
  <c r="F155" i="48"/>
  <c r="F88" i="48"/>
  <c r="M24" i="48"/>
  <c r="G17" i="48"/>
  <c r="F17" i="48"/>
  <c r="G16" i="48"/>
  <c r="F16" i="48"/>
  <c r="E14" i="48"/>
  <c r="N7" i="48"/>
  <c r="N4" i="48"/>
  <c r="N1" i="48"/>
  <c r="E35" i="47"/>
  <c r="E32"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H57" i="43"/>
  <c r="H56" i="43"/>
  <c r="H55" i="43"/>
  <c r="I54" i="43"/>
  <c r="I48" i="43" s="1"/>
  <c r="H48" i="43" s="1"/>
  <c r="H53" i="43"/>
  <c r="H52" i="43"/>
  <c r="H51" i="43"/>
  <c r="H50" i="43"/>
  <c r="I49" i="43"/>
  <c r="H49" i="43" s="1"/>
  <c r="H47" i="43"/>
  <c r="H46" i="43"/>
  <c r="H45" i="43"/>
  <c r="I44" i="43"/>
  <c r="H44" i="43" s="1"/>
  <c r="H43" i="43"/>
  <c r="H42" i="43"/>
  <c r="H41" i="43"/>
  <c r="H40" i="43"/>
  <c r="I39" i="43"/>
  <c r="H39" i="43"/>
  <c r="H35" i="43"/>
  <c r="H34" i="43"/>
  <c r="H33" i="43"/>
  <c r="I32" i="43"/>
  <c r="H32" i="43" s="1"/>
  <c r="H31" i="43"/>
  <c r="H30" i="43"/>
  <c r="H29" i="43"/>
  <c r="I28" i="43"/>
  <c r="H28" i="43" s="1"/>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L68" i="33"/>
  <c r="K68" i="33"/>
  <c r="J68" i="33"/>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E33" i="33"/>
  <c r="K33"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S6"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S6"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S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K8" i="12"/>
  <c r="S8" i="12" s="1"/>
  <c r="AP7" i="12"/>
  <c r="J7" i="12"/>
  <c r="S7" i="12" s="1"/>
  <c r="AP6" i="12"/>
  <c r="I6" i="12"/>
  <c r="S6" i="12" s="1"/>
  <c r="AP5" i="12"/>
  <c r="AD5" i="12"/>
  <c r="S5" i="12"/>
  <c r="AP4" i="12"/>
  <c r="AD4" i="12"/>
  <c r="S4" i="12"/>
  <c r="AP3" i="12"/>
  <c r="AD3" i="12"/>
  <c r="S3" i="12"/>
  <c r="AP2" i="12"/>
  <c r="AD2" i="12"/>
  <c r="S2" i="12"/>
  <c r="DJ57" i="11"/>
  <c r="DJ56" i="11"/>
  <c r="DJ55" i="11"/>
  <c r="DJ54" i="11"/>
  <c r="DJ53" i="11"/>
  <c r="DJ52" i="11"/>
  <c r="DJ51" i="11"/>
  <c r="DJ50" i="11"/>
  <c r="DA50" i="11"/>
  <c r="CS50" i="11"/>
  <c r="CK50" i="11"/>
  <c r="CC50" i="11"/>
  <c r="BU50" i="11"/>
  <c r="BM50" i="11"/>
  <c r="BE50" i="11"/>
  <c r="AW50" i="11"/>
  <c r="AO50" i="11"/>
  <c r="AG50" i="11"/>
  <c r="Y50" i="11"/>
  <c r="DJ49" i="11"/>
  <c r="DJ48" i="11"/>
  <c r="DJ47" i="11"/>
  <c r="DJ46" i="11"/>
  <c r="DJ45" i="11"/>
  <c r="DJ44" i="11"/>
  <c r="DJ43" i="11"/>
  <c r="DG43" i="11"/>
  <c r="CZ42" i="11"/>
  <c r="DA42" i="11" s="1"/>
  <c r="DB42" i="11" s="1"/>
  <c r="DC42" i="11" s="1"/>
  <c r="DE42" i="11" s="1"/>
  <c r="DF42" i="11" s="1"/>
  <c r="DG42" i="11" s="1"/>
  <c r="CR42" i="11"/>
  <c r="CS42" i="11" s="1"/>
  <c r="CT42" i="11" s="1"/>
  <c r="CU42" i="11" s="1"/>
  <c r="CW42" i="11" s="1"/>
  <c r="CX42" i="11" s="1"/>
  <c r="CJ42" i="11"/>
  <c r="CK42" i="11" s="1"/>
  <c r="CL42" i="11" s="1"/>
  <c r="CM42" i="11" s="1"/>
  <c r="CO42" i="11" s="1"/>
  <c r="CP42" i="11" s="1"/>
  <c r="CB42" i="11"/>
  <c r="CC42" i="11" s="1"/>
  <c r="CD42" i="11" s="1"/>
  <c r="CE42" i="11" s="1"/>
  <c r="CG42" i="11" s="1"/>
  <c r="CH42" i="11" s="1"/>
  <c r="BT42" i="11"/>
  <c r="BU42" i="11" s="1"/>
  <c r="BV42" i="11" s="1"/>
  <c r="BW42" i="11" s="1"/>
  <c r="BY42" i="11" s="1"/>
  <c r="BZ42" i="11" s="1"/>
  <c r="BL42" i="11"/>
  <c r="BM42" i="11" s="1"/>
  <c r="BN42" i="11" s="1"/>
  <c r="BO42" i="11" s="1"/>
  <c r="BQ42" i="11" s="1"/>
  <c r="BR42" i="11" s="1"/>
  <c r="BD42" i="11"/>
  <c r="BE42" i="11" s="1"/>
  <c r="BF42" i="11" s="1"/>
  <c r="BG42" i="11" s="1"/>
  <c r="BI42" i="11" s="1"/>
  <c r="BJ42" i="11" s="1"/>
  <c r="AV42" i="11"/>
  <c r="AW42" i="11" s="1"/>
  <c r="AX42" i="11" s="1"/>
  <c r="AY42" i="11" s="1"/>
  <c r="BA42" i="11" s="1"/>
  <c r="BB42" i="11" s="1"/>
  <c r="AN42" i="11"/>
  <c r="AO42" i="11" s="1"/>
  <c r="AP42" i="11" s="1"/>
  <c r="AQ42" i="11" s="1"/>
  <c r="AS42" i="11" s="1"/>
  <c r="AT42" i="11" s="1"/>
  <c r="AF42" i="11"/>
  <c r="AG42" i="11" s="1"/>
  <c r="AH42" i="11" s="1"/>
  <c r="AI42" i="11" s="1"/>
  <c r="AK42" i="11" s="1"/>
  <c r="AL42" i="11" s="1"/>
  <c r="X42" i="11"/>
  <c r="Y42" i="11" s="1"/>
  <c r="Z42" i="11" s="1"/>
  <c r="AA42" i="11" s="1"/>
  <c r="AC42" i="11" s="1"/>
  <c r="AD42" i="11" s="1"/>
  <c r="U42" i="11"/>
  <c r="V42" i="11" s="1"/>
  <c r="CX35" i="11"/>
  <c r="CP35" i="11"/>
  <c r="CH35" i="11"/>
  <c r="BZ35" i="11"/>
  <c r="BR35" i="11"/>
  <c r="BJ35" i="11"/>
  <c r="BB35" i="11"/>
  <c r="AT35" i="11"/>
  <c r="AL35" i="11"/>
  <c r="AD35" i="11"/>
  <c r="V35" i="11"/>
  <c r="CX34" i="11"/>
  <c r="CP34" i="11"/>
  <c r="CH34" i="11"/>
  <c r="BZ34" i="11"/>
  <c r="BR34" i="11"/>
  <c r="BJ34" i="11"/>
  <c r="BB34" i="11"/>
  <c r="AT34" i="11"/>
  <c r="AL34" i="11"/>
  <c r="AD34" i="11"/>
  <c r="V34" i="11"/>
  <c r="CX32" i="11"/>
  <c r="CP32" i="11"/>
  <c r="CH32" i="11"/>
  <c r="BZ32" i="11"/>
  <c r="BR32" i="11"/>
  <c r="BJ32" i="11"/>
  <c r="BB32" i="11"/>
  <c r="AT32" i="11"/>
  <c r="AL32" i="11"/>
  <c r="AD32" i="11"/>
  <c r="V32" i="11"/>
  <c r="CX31" i="11"/>
  <c r="CP31" i="11"/>
  <c r="CH31" i="11"/>
  <c r="BZ31" i="11"/>
  <c r="BR31" i="11"/>
  <c r="BJ31" i="11"/>
  <c r="BB31" i="11"/>
  <c r="AT31" i="11"/>
  <c r="AL31" i="11"/>
  <c r="AD31" i="11"/>
  <c r="V31" i="11"/>
  <c r="CX30" i="11"/>
  <c r="CP30" i="11"/>
  <c r="CH30" i="11"/>
  <c r="BZ30" i="11"/>
  <c r="BR30" i="11"/>
  <c r="BJ30" i="11"/>
  <c r="BB30" i="11"/>
  <c r="AT30" i="11"/>
  <c r="AL30" i="11"/>
  <c r="AD30" i="11"/>
  <c r="V30" i="11"/>
  <c r="CX29" i="11"/>
  <c r="CP29" i="11"/>
  <c r="CH29" i="11"/>
  <c r="BZ29" i="11"/>
  <c r="BR29" i="11"/>
  <c r="BJ29" i="11"/>
  <c r="BB29" i="11"/>
  <c r="AT29" i="11"/>
  <c r="AL29" i="11"/>
  <c r="AD29" i="11"/>
  <c r="V29" i="11"/>
  <c r="S27" i="11"/>
  <c r="S26" i="11"/>
  <c r="AG18" i="11"/>
  <c r="DJ15" i="11"/>
  <c r="DJ14" i="11"/>
  <c r="DJ13" i="11"/>
  <c r="DJ12" i="11"/>
  <c r="DJ11" i="11"/>
  <c r="DJ10" i="11"/>
  <c r="DJ9" i="11"/>
  <c r="DA9" i="11"/>
  <c r="CS9" i="11"/>
  <c r="CK9" i="11"/>
  <c r="CC9" i="11"/>
  <c r="BU9" i="11"/>
  <c r="BM9" i="11"/>
  <c r="BE9" i="11"/>
  <c r="AW9" i="11"/>
  <c r="AO9" i="11"/>
  <c r="AG9" i="11"/>
  <c r="Y9" i="11"/>
  <c r="DJ8" i="11"/>
  <c r="DJ7" i="11"/>
  <c r="DJ6" i="11"/>
  <c r="I6" i="11"/>
  <c r="J7" i="11" s="1"/>
  <c r="DJ5" i="11"/>
  <c r="AD5" i="11"/>
  <c r="S5" i="11"/>
  <c r="DJ4" i="11"/>
  <c r="AD4" i="11"/>
  <c r="S4" i="11"/>
  <c r="DJ3" i="11"/>
  <c r="AD3" i="11"/>
  <c r="S3" i="11"/>
  <c r="DJ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5" i="7" s="1"/>
  <c r="A33" i="7"/>
  <c r="G29" i="7"/>
  <c r="G28" i="7"/>
  <c r="G27"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L20" i="64" s="1"/>
  <c r="AN28" i="5"/>
  <c r="L19" i="64" s="1"/>
  <c r="AM28" i="5"/>
  <c r="AL28" i="5"/>
  <c r="AK28" i="5"/>
  <c r="AJ28" i="5"/>
  <c r="AI28" i="5"/>
  <c r="AH28"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D43" i="11" s="1"/>
  <c r="AI13" i="5"/>
  <c r="AH13" i="5"/>
  <c r="G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3" i="2"/>
  <c r="E2" i="2"/>
  <c r="Y25" i="64"/>
  <c r="AR8" i="19"/>
  <c r="AL46" i="23"/>
  <c r="AN49" i="17"/>
  <c r="AN49" i="18"/>
  <c r="M2" i="54"/>
  <c r="AN8" i="15"/>
  <c r="AN8" i="18"/>
  <c r="AL46" i="22"/>
  <c r="AT47" i="31"/>
  <c r="AL7" i="27"/>
  <c r="AN49" i="12"/>
  <c r="M10" i="54"/>
  <c r="AL48" i="25"/>
  <c r="AN8" i="13"/>
  <c r="AV8" i="20"/>
  <c r="DH49" i="11"/>
  <c r="AL46" i="24"/>
  <c r="AT7" i="30"/>
  <c r="AN49" i="13"/>
  <c r="AN8" i="14"/>
  <c r="AL7" i="22"/>
  <c r="AT47" i="30"/>
  <c r="AR55" i="19"/>
  <c r="AN49" i="16"/>
  <c r="AN8" i="12"/>
  <c r="AL46" i="27"/>
  <c r="AL7" i="21"/>
  <c r="AN49" i="15"/>
  <c r="AN49" i="14"/>
  <c r="AR56" i="19"/>
  <c r="AN8" i="17"/>
  <c r="AT7" i="31"/>
  <c r="AL7" i="23"/>
  <c r="AL8" i="25"/>
  <c r="M2" i="55"/>
  <c r="AN8" i="16"/>
  <c r="AL46" i="21"/>
  <c r="AL46" i="28"/>
  <c r="DH8" i="11"/>
  <c r="M10" i="55"/>
  <c r="J13" i="3"/>
  <c r="AV51" i="20"/>
  <c r="AL7" i="24"/>
  <c r="AL7" i="28"/>
  <c r="H47" i="51" l="1"/>
  <c r="G50" i="51"/>
  <c r="H46" i="51"/>
  <c r="H48" i="51"/>
  <c r="G49" i="51"/>
  <c r="G53" i="51"/>
  <c r="S47" i="14"/>
  <c r="J48" i="14"/>
  <c r="S7" i="11"/>
  <c r="K8" i="11"/>
  <c r="S8" i="11" s="1"/>
  <c r="S7" i="14"/>
  <c r="K8" i="14"/>
  <c r="S8" i="14" s="1"/>
  <c r="S47" i="11"/>
  <c r="J48" i="11"/>
  <c r="S47" i="15"/>
  <c r="J48" i="15"/>
  <c r="S7" i="15"/>
  <c r="K8" i="15"/>
  <c r="S8" i="15" s="1"/>
  <c r="I10" i="50"/>
  <c r="H10" i="45"/>
  <c r="I27" i="40"/>
  <c r="M11" i="35"/>
  <c r="I26" i="33"/>
  <c r="I11" i="38"/>
  <c r="I8" i="39"/>
  <c r="I11" i="37"/>
  <c r="H15" i="34"/>
  <c r="S47" i="12"/>
  <c r="J48" i="12"/>
  <c r="O20" i="64"/>
  <c r="AD44" i="16"/>
  <c r="K55" i="19"/>
  <c r="U54" i="19"/>
  <c r="I47" i="18"/>
  <c r="J48" i="18"/>
  <c r="J50" i="20"/>
  <c r="K51" i="20"/>
  <c r="S51" i="20" s="1"/>
  <c r="I49" i="20"/>
  <c r="D22" i="7"/>
  <c r="D34" i="7"/>
  <c r="S6" i="11"/>
  <c r="J7" i="13"/>
  <c r="S46" i="13"/>
  <c r="I47" i="13" s="1"/>
  <c r="S6" i="14"/>
  <c r="S43" i="14"/>
  <c r="S44" i="14"/>
  <c r="AD45" i="14"/>
  <c r="S43" i="16"/>
  <c r="K8" i="17"/>
  <c r="S8" i="17" s="1"/>
  <c r="S7" i="17"/>
  <c r="K8" i="19"/>
  <c r="U7" i="19"/>
  <c r="I9" i="39"/>
  <c r="I12" i="38"/>
  <c r="I12" i="37"/>
  <c r="H16" i="34"/>
  <c r="H11" i="45"/>
  <c r="I28" i="40"/>
  <c r="I11" i="50"/>
  <c r="M12" i="35"/>
  <c r="I27" i="33"/>
  <c r="F282" i="48"/>
  <c r="F156" i="48"/>
  <c r="F24" i="48"/>
  <c r="F221" i="48"/>
  <c r="F91" i="48"/>
  <c r="G285" i="48"/>
  <c r="G163" i="48"/>
  <c r="G31" i="48"/>
  <c r="G98" i="48"/>
  <c r="G224" i="48"/>
  <c r="F227" i="48"/>
  <c r="F101" i="48"/>
  <c r="F288" i="48"/>
  <c r="F34" i="48"/>
  <c r="F166" i="48"/>
  <c r="O21" i="64"/>
  <c r="AD45" i="16"/>
  <c r="L21" i="64"/>
  <c r="S45" i="16"/>
  <c r="G291" i="48"/>
  <c r="G169" i="48"/>
  <c r="G37" i="48"/>
  <c r="G230" i="48"/>
  <c r="G104" i="48"/>
  <c r="AG49" i="19"/>
  <c r="F233" i="48"/>
  <c r="F107" i="48"/>
  <c r="F40" i="48"/>
  <c r="F172" i="48"/>
  <c r="F294" i="48"/>
  <c r="G297" i="48"/>
  <c r="G175" i="48"/>
  <c r="G43" i="48"/>
  <c r="G110" i="48"/>
  <c r="G236" i="48"/>
  <c r="AD43" i="18"/>
  <c r="F239" i="48"/>
  <c r="F113" i="48"/>
  <c r="F300" i="48"/>
  <c r="F46" i="48"/>
  <c r="F178" i="48"/>
  <c r="G303" i="48"/>
  <c r="G181" i="48"/>
  <c r="G49" i="48"/>
  <c r="G242" i="48"/>
  <c r="G116" i="48"/>
  <c r="AB45" i="20"/>
  <c r="F245" i="48"/>
  <c r="F119" i="48"/>
  <c r="F52" i="48"/>
  <c r="F184" i="48"/>
  <c r="F306" i="48"/>
  <c r="F309" i="48"/>
  <c r="F187" i="48"/>
  <c r="F55" i="48"/>
  <c r="F122" i="48"/>
  <c r="F248" i="48"/>
  <c r="J45" i="21"/>
  <c r="S44" i="21"/>
  <c r="G251" i="48"/>
  <c r="G125" i="48"/>
  <c r="G58" i="48"/>
  <c r="G190" i="48"/>
  <c r="G312" i="48"/>
  <c r="AC41" i="22"/>
  <c r="F315" i="48"/>
  <c r="F193" i="48"/>
  <c r="F61" i="48"/>
  <c r="F128" i="48"/>
  <c r="F254" i="48"/>
  <c r="S44" i="23"/>
  <c r="J45" i="23"/>
  <c r="G257" i="48"/>
  <c r="G131" i="48"/>
  <c r="G196" i="48"/>
  <c r="G318" i="48"/>
  <c r="G64" i="48"/>
  <c r="AC41" i="24"/>
  <c r="F321" i="48"/>
  <c r="F199" i="48"/>
  <c r="F67" i="48"/>
  <c r="F134" i="48"/>
  <c r="F260" i="48"/>
  <c r="G263" i="48"/>
  <c r="G137" i="48"/>
  <c r="AG42" i="30"/>
  <c r="G70" i="48"/>
  <c r="G202" i="48"/>
  <c r="G324" i="48"/>
  <c r="F327" i="48"/>
  <c r="F205" i="48"/>
  <c r="F73" i="48"/>
  <c r="F140" i="48"/>
  <c r="F266" i="48"/>
  <c r="S45" i="31"/>
  <c r="J46" i="31"/>
  <c r="G269" i="48"/>
  <c r="G143" i="48"/>
  <c r="G208" i="48"/>
  <c r="G330" i="48"/>
  <c r="AD46" i="32"/>
  <c r="G76" i="48"/>
  <c r="F333" i="48"/>
  <c r="F211" i="48"/>
  <c r="F79" i="48"/>
  <c r="F146" i="48"/>
  <c r="F272" i="48"/>
  <c r="S44" i="27"/>
  <c r="J45" i="27"/>
  <c r="G275" i="48"/>
  <c r="G149" i="48"/>
  <c r="G82" i="48"/>
  <c r="AC41" i="28"/>
  <c r="G214" i="48"/>
  <c r="G336" i="48"/>
  <c r="F339" i="48"/>
  <c r="F217" i="48"/>
  <c r="F85" i="48"/>
  <c r="F152" i="48"/>
  <c r="F278" i="48"/>
  <c r="D37" i="7"/>
  <c r="D38" i="7" s="1"/>
  <c r="D39" i="7" s="1"/>
  <c r="AD43" i="12"/>
  <c r="S45" i="13"/>
  <c r="AD46" i="13"/>
  <c r="AD43" i="14"/>
  <c r="AD44" i="14"/>
  <c r="O22" i="64"/>
  <c r="AD46" i="16"/>
  <c r="L22" i="64"/>
  <c r="F23" i="64" s="1"/>
  <c r="S46" i="16"/>
  <c r="I47" i="17"/>
  <c r="J48" i="17"/>
  <c r="K48" i="25"/>
  <c r="S48" i="25" s="1"/>
  <c r="I46" i="25"/>
  <c r="J47" i="25"/>
  <c r="D36" i="7"/>
  <c r="K8" i="16"/>
  <c r="S8" i="16" s="1"/>
  <c r="S7" i="16"/>
  <c r="K8" i="18"/>
  <c r="S8" i="18" s="1"/>
  <c r="S7" i="18"/>
  <c r="J6" i="24"/>
  <c r="S5" i="24"/>
  <c r="I7" i="39"/>
  <c r="I10" i="38"/>
  <c r="I10" i="37"/>
  <c r="I26" i="40"/>
  <c r="H14" i="34"/>
  <c r="I9" i="50"/>
  <c r="M10" i="35"/>
  <c r="I25" i="33"/>
  <c r="H9" i="45"/>
  <c r="G5" i="48"/>
  <c r="G221" i="48"/>
  <c r="G91" i="48"/>
  <c r="G24" i="48"/>
  <c r="G2" i="48"/>
  <c r="G156" i="48"/>
  <c r="G282" i="48"/>
  <c r="F285" i="48"/>
  <c r="F163" i="48"/>
  <c r="F31" i="48"/>
  <c r="F98" i="48"/>
  <c r="F224" i="48"/>
  <c r="O19" i="64"/>
  <c r="G227" i="48"/>
  <c r="G101" i="48"/>
  <c r="G34" i="48"/>
  <c r="G166" i="48"/>
  <c r="G288" i="48"/>
  <c r="AD43" i="16"/>
  <c r="F291" i="48"/>
  <c r="F169" i="48"/>
  <c r="F37" i="48"/>
  <c r="F104" i="48"/>
  <c r="F230" i="48"/>
  <c r="G233" i="48"/>
  <c r="G107" i="48"/>
  <c r="G172" i="48"/>
  <c r="G294" i="48"/>
  <c r="G40" i="48"/>
  <c r="AD43" i="17"/>
  <c r="F297" i="48"/>
  <c r="F175" i="48"/>
  <c r="F43" i="48"/>
  <c r="F110" i="48"/>
  <c r="F236" i="48"/>
  <c r="G239" i="48"/>
  <c r="G113" i="48"/>
  <c r="G46" i="48"/>
  <c r="G178" i="48"/>
  <c r="G300" i="48"/>
  <c r="F303" i="48"/>
  <c r="F181" i="48"/>
  <c r="F49" i="48"/>
  <c r="F116" i="48"/>
  <c r="F242" i="48"/>
  <c r="G245" i="48"/>
  <c r="G119" i="48"/>
  <c r="G184" i="48"/>
  <c r="G306" i="48"/>
  <c r="G52" i="48"/>
  <c r="AC42" i="25"/>
  <c r="G309" i="48"/>
  <c r="G187" i="48"/>
  <c r="G55" i="48"/>
  <c r="G122" i="48"/>
  <c r="G248" i="48"/>
  <c r="AC41" i="21"/>
  <c r="F251" i="48"/>
  <c r="F125" i="48"/>
  <c r="F312" i="48"/>
  <c r="F58" i="48"/>
  <c r="F190" i="48"/>
  <c r="S44" i="22"/>
  <c r="J45" i="22"/>
  <c r="G315" i="48"/>
  <c r="G193" i="48"/>
  <c r="G61" i="48"/>
  <c r="G254" i="48"/>
  <c r="G128" i="48"/>
  <c r="AC41" i="23"/>
  <c r="F257" i="48"/>
  <c r="F131" i="48"/>
  <c r="F64" i="48"/>
  <c r="F196" i="48"/>
  <c r="F318" i="48"/>
  <c r="J45" i="24"/>
  <c r="S44" i="24"/>
  <c r="G321" i="48"/>
  <c r="G199" i="48"/>
  <c r="G67" i="48"/>
  <c r="G134" i="48"/>
  <c r="G260" i="48"/>
  <c r="AD46" i="26"/>
  <c r="F263" i="48"/>
  <c r="F137" i="48"/>
  <c r="F324" i="48"/>
  <c r="F70" i="48"/>
  <c r="F202" i="48"/>
  <c r="J46" i="30"/>
  <c r="S45" i="30"/>
  <c r="G327" i="48"/>
  <c r="G205" i="48"/>
  <c r="G73" i="48"/>
  <c r="G266" i="48"/>
  <c r="G140" i="48"/>
  <c r="AG42" i="31"/>
  <c r="F269" i="48"/>
  <c r="F143" i="48"/>
  <c r="F76" i="48"/>
  <c r="F208" i="48"/>
  <c r="F330" i="48"/>
  <c r="G333" i="48"/>
  <c r="G211" i="48"/>
  <c r="G79" i="48"/>
  <c r="G146" i="48"/>
  <c r="G272" i="48"/>
  <c r="AC41" i="27"/>
  <c r="F275" i="48"/>
  <c r="F149" i="48"/>
  <c r="F336" i="48"/>
  <c r="F82" i="48"/>
  <c r="F214" i="48"/>
  <c r="J45" i="28"/>
  <c r="S44" i="28"/>
  <c r="G339" i="48"/>
  <c r="G217" i="48"/>
  <c r="G85" i="48"/>
  <c r="G278" i="48"/>
  <c r="AD46" i="29"/>
  <c r="G152" i="48"/>
  <c r="AD43" i="15"/>
  <c r="S44" i="16"/>
  <c r="S5" i="21"/>
  <c r="J6" i="21"/>
  <c r="J6" i="27"/>
  <c r="J6" i="28"/>
  <c r="S5" i="28"/>
  <c r="I31" i="33"/>
  <c r="I136" i="33" s="1"/>
  <c r="I6" i="20"/>
  <c r="K8" i="20"/>
  <c r="S8" i="20" s="1"/>
  <c r="J6" i="22"/>
  <c r="K7" i="23"/>
  <c r="S7" i="23" s="1"/>
  <c r="J6" i="31"/>
  <c r="S5" i="31"/>
  <c r="I36" i="43"/>
  <c r="H36" i="43" s="1"/>
  <c r="L6" i="51"/>
  <c r="K7" i="30"/>
  <c r="S7" i="30" s="1"/>
  <c r="H31" i="33"/>
  <c r="H136" i="33" s="1"/>
  <c r="B34" i="33"/>
  <c r="H54" i="43"/>
  <c r="J47" i="51"/>
  <c r="J50" i="51"/>
  <c r="J51" i="51"/>
  <c r="J45" i="51" s="1"/>
  <c r="E5" i="2" s="1"/>
  <c r="U148" i="63"/>
  <c r="AA15" i="63"/>
  <c r="U14" i="63"/>
  <c r="E29" i="62"/>
  <c r="E6" i="62"/>
  <c r="U15" i="63"/>
  <c r="AA11" i="63"/>
  <c r="E24" i="52"/>
  <c r="M221" i="48"/>
  <c r="M91" i="48"/>
  <c r="E42" i="47"/>
  <c r="E31" i="47"/>
  <c r="F5" i="44"/>
  <c r="AA12" i="63"/>
  <c r="E32" i="62"/>
  <c r="E30" i="62"/>
  <c r="E5" i="55"/>
  <c r="E5" i="54"/>
  <c r="D5" i="52"/>
  <c r="F23" i="48"/>
  <c r="E38" i="47"/>
  <c r="E28" i="47"/>
  <c r="AA16" i="63"/>
  <c r="AA13" i="63"/>
  <c r="E5" i="62"/>
  <c r="E3" i="62"/>
  <c r="J46" i="51"/>
  <c r="J49" i="51"/>
  <c r="I38" i="43"/>
  <c r="E29" i="51"/>
  <c r="E31" i="62"/>
  <c r="E4" i="62"/>
  <c r="G46" i="51"/>
  <c r="G47" i="51"/>
  <c r="G48" i="51"/>
  <c r="H49" i="51"/>
  <c r="H50" i="51"/>
  <c r="H38" i="43" l="1"/>
  <c r="I58" i="43"/>
  <c r="H58" i="43" s="1"/>
  <c r="D4" i="4"/>
  <c r="B5" i="1"/>
  <c r="K7" i="28"/>
  <c r="S7" i="28" s="1"/>
  <c r="S6" i="28"/>
  <c r="K7" i="24"/>
  <c r="S7" i="24" s="1"/>
  <c r="S6" i="24"/>
  <c r="L23" i="64"/>
  <c r="G24" i="64"/>
  <c r="D43" i="7"/>
  <c r="D44" i="7" s="1"/>
  <c r="D45" i="7" s="1"/>
  <c r="D41" i="7"/>
  <c r="D40" i="7"/>
  <c r="K46" i="27"/>
  <c r="S46" i="27" s="1"/>
  <c r="S45" i="27"/>
  <c r="K8" i="13"/>
  <c r="S8" i="13" s="1"/>
  <c r="S7" i="13"/>
  <c r="S48" i="11"/>
  <c r="K49" i="11"/>
  <c r="S49" i="11" s="1"/>
  <c r="K7" i="31"/>
  <c r="S7" i="31" s="1"/>
  <c r="S6" i="31"/>
  <c r="K7" i="27"/>
  <c r="S7" i="27" s="1"/>
  <c r="S6" i="27"/>
  <c r="S45" i="28"/>
  <c r="K46" i="28"/>
  <c r="S46" i="28" s="1"/>
  <c r="K47" i="30"/>
  <c r="S47" i="30" s="1"/>
  <c r="S46" i="30"/>
  <c r="S48" i="17"/>
  <c r="K49" i="17"/>
  <c r="S49" i="17" s="1"/>
  <c r="K47" i="31"/>
  <c r="S47" i="31" s="1"/>
  <c r="S46" i="31"/>
  <c r="S45" i="23"/>
  <c r="K46" i="23"/>
  <c r="S46" i="23" s="1"/>
  <c r="K49" i="12"/>
  <c r="S49" i="12" s="1"/>
  <c r="S48" i="12"/>
  <c r="K7" i="21"/>
  <c r="S7" i="21" s="1"/>
  <c r="S6" i="21"/>
  <c r="S45" i="24"/>
  <c r="K46" i="24"/>
  <c r="S46" i="24" s="1"/>
  <c r="K46" i="22"/>
  <c r="S46" i="22" s="1"/>
  <c r="S45" i="22"/>
  <c r="U55" i="19"/>
  <c r="L56" i="19"/>
  <c r="U56" i="19" s="1"/>
  <c r="K49" i="15"/>
  <c r="S49" i="15" s="1"/>
  <c r="S48" i="15"/>
  <c r="K49" i="14"/>
  <c r="S49" i="14" s="1"/>
  <c r="S48" i="14"/>
  <c r="S6" i="22"/>
  <c r="K7" i="22"/>
  <c r="S7" i="22" s="1"/>
  <c r="I47" i="16"/>
  <c r="J48" i="16"/>
  <c r="K46" i="21"/>
  <c r="S46" i="21" s="1"/>
  <c r="S45" i="21"/>
  <c r="L9" i="19"/>
  <c r="U9" i="19" s="1"/>
  <c r="U8" i="19"/>
  <c r="J48" i="13"/>
  <c r="S47" i="13"/>
  <c r="S48" i="18"/>
  <c r="K49" i="18"/>
  <c r="S49" i="18" s="1"/>
  <c r="S48" i="13" l="1"/>
  <c r="K49" i="13"/>
  <c r="S49" i="13" s="1"/>
  <c r="S48" i="16"/>
  <c r="K49" i="16"/>
  <c r="S49" i="16" s="1"/>
  <c r="D47" i="7"/>
  <c r="D51" i="7"/>
  <c r="D49" i="7"/>
  <c r="D46" i="7"/>
  <c r="D48" i="7"/>
  <c r="H25" i="64"/>
  <c r="L25" i="64" s="1"/>
  <c r="L24" i="64"/>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<sst xmlns="http://schemas.openxmlformats.org/spreadsheetml/2006/main" count="11268" uniqueCount="2869">
  <si>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</si>
  <si>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</si>
  <si>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</si>
  <si>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</si>
  <si>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</si>
  <si>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</si>
  <si>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</si>
  <si>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</si>
  <si>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</si>
  <si>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</si>
  <si>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</si>
  <si>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</si>
  <si>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</si>
  <si>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26637523</t>
  </si>
  <si>
    <t>Flag_Row_Size</t>
  </si>
  <si>
    <t>Субъект РФ</t>
  </si>
  <si>
    <t>Ямало-Ненецкий автономный округ</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</si>
  <si>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</si>
  <si>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</si>
  <si>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</si>
  <si>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</si>
  <si>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</si>
  <si>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</si>
  <si>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</si>
  <si>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</si>
  <si>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</si>
  <si>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</si>
  <si>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</si>
  <si>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</si>
  <si>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</si>
  <si>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</si>
  <si>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</si>
  <si>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</si>
  <si>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</si>
  <si>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</si>
  <si>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</si>
  <si>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</si>
  <si>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</si>
  <si>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</si>
  <si>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</si>
  <si>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</si>
  <si>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18-1444</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</si>
  <si>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</si>
  <si>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</si>
  <si>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</si>
  <si>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</si>
  <si>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"Ноябрьская ПГЭ"</t>
  </si>
  <si>
    <t>Наименование (описание) обособленного подразделения</t>
  </si>
  <si>
    <t>ИНН</t>
  </si>
  <si>
    <t>8905037499</t>
  </si>
  <si>
    <t>КПП</t>
  </si>
  <si>
    <t>890501001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</si>
  <si>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</si>
  <si>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</si>
  <si>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</si>
  <si>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</si>
  <si>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</si>
  <si>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</si>
  <si>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</si>
  <si>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</si>
  <si>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</si>
  <si>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</si>
  <si>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</si>
  <si>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</si>
  <si>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</si>
  <si>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</si>
  <si>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</si>
  <si>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</si>
  <si>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</si>
  <si>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</si>
  <si>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640003, Курганская область, г. Курган, ул. Тимофея Невежина, д.3</t>
  </si>
  <si>
    <t>Фамилия, имя, отчество руководителя</t>
  </si>
  <si>
    <t>Карапетян Станислав Сейранович</t>
  </si>
  <si>
    <t>Ответственный за заполнение формы</t>
  </si>
  <si>
    <t>Фамилия, имя, отчество</t>
  </si>
  <si>
    <t>Должность</t>
  </si>
  <si>
    <t>Генеральный директор ООО "Интертехэлектро - Новая генерация" - управляющей организации ООО "Ноябрьская ПГЭ"</t>
  </si>
  <si>
    <t>Контактный телефон</t>
  </si>
  <si>
    <t>8 (3522) 63-53-63</t>
  </si>
  <si>
    <t>E-mail</t>
  </si>
  <si>
    <t>kgk-kurgan@kgk-kurgan.ru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</si>
  <si>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</si>
  <si>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</si>
  <si>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</si>
  <si>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</si>
  <si>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</si>
  <si>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</si>
  <si>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</si>
  <si>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</si>
  <si>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</si>
  <si>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</si>
  <si>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</si>
  <si>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</si>
  <si>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</si>
  <si>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</si>
  <si>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</si>
  <si>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</si>
  <si>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</si>
  <si>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12</t>
  </si>
  <si>
    <t>город Ноябрьск</t>
  </si>
  <si>
    <t>71958000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</si>
  <si>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</si>
  <si>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</si>
  <si>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</si>
  <si>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</si>
  <si>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</si>
  <si>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</si>
  <si>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</si>
  <si>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</si>
  <si>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</si>
  <si>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</si>
  <si>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</si>
  <si>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</si>
  <si>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</si>
  <si>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</si>
  <si>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</si>
  <si>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</si>
  <si>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</si>
  <si>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</si>
  <si>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</si>
  <si>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</si>
  <si>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</si>
  <si>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</si>
  <si>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</si>
  <si>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</si>
  <si>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</si>
  <si>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</si>
  <si>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</si>
  <si>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</si>
  <si>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</si>
  <si>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</si>
  <si>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</si>
  <si>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</si>
  <si>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</si>
  <si>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</si>
  <si>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</si>
  <si>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</si>
  <si>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</si>
  <si>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</si>
  <si>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</si>
  <si>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</si>
  <si>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</si>
  <si>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</si>
  <si>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</si>
  <si>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</si>
  <si>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</si>
  <si>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</si>
  <si>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</si>
  <si>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</si>
  <si>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</si>
  <si>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</si>
  <si>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</si>
  <si>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</si>
  <si>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Долгосрочный тариф на тепловую энергию для потребителей ООО "Ноябрьская ПГЭ" на 2025 - 2029 годы</t>
  </si>
  <si>
    <t>"4190066"</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</si>
  <si>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</si>
  <si>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</si>
  <si>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</si>
  <si>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</si>
  <si>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</si>
  <si>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</si>
  <si>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</si>
  <si>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</si>
  <si>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</si>
  <si>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</si>
  <si>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</si>
  <si>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</si>
  <si>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</si>
  <si>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</si>
  <si>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</si>
  <si>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</si>
  <si>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</si>
  <si>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</si>
  <si>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</si>
  <si>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</si>
  <si>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</si>
  <si>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</si>
  <si>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</si>
  <si>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</si>
  <si>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</si>
  <si>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</si>
  <si>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</si>
  <si>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</si>
  <si>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</si>
  <si>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</si>
  <si>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</si>
  <si>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</si>
  <si>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</si>
  <si>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</si>
  <si>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</si>
  <si>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</si>
  <si>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</si>
  <si>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</si>
  <si>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</si>
  <si>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</si>
  <si>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</si>
  <si>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</si>
  <si>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</si>
  <si>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</si>
  <si>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</si>
  <si>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</si>
  <si>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</si>
  <si>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</si>
  <si>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</si>
  <si>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</si>
  <si>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</si>
  <si>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</si>
  <si>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</si>
  <si>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</si>
  <si>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</si>
  <si>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</si>
  <si>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</si>
  <si>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</si>
  <si>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</si>
  <si>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</si>
  <si>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</si>
  <si>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</si>
  <si>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</si>
  <si>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</si>
  <si>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</si>
  <si>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</si>
  <si>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</si>
  <si>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</si>
  <si>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</si>
  <si>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</si>
  <si>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</si>
  <si>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</si>
  <si>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</si>
  <si>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</si>
  <si>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</si>
  <si>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</si>
  <si>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</si>
  <si>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</si>
  <si>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</si>
  <si>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</si>
  <si>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</si>
  <si>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</si>
  <si>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</si>
  <si>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</si>
  <si>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</si>
  <si>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</si>
  <si>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</si>
  <si>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</si>
  <si>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</si>
  <si>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</si>
  <si>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</si>
  <si>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</si>
  <si>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</si>
  <si>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</si>
  <si>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</si>
  <si>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</si>
  <si>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</si>
  <si>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</si>
  <si>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</si>
  <si>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</si>
  <si>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</si>
  <si>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</si>
  <si>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</si>
  <si>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</si>
  <si>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</si>
  <si>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</si>
  <si>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</si>
  <si>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</si>
  <si>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</si>
  <si>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</si>
  <si>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</si>
  <si>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</si>
  <si>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</si>
  <si>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</si>
  <si>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</si>
  <si>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</si>
  <si>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</si>
  <si>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</si>
  <si>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</si>
  <si>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</si>
  <si>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</si>
  <si>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</si>
  <si>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</si>
  <si>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</si>
  <si>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</si>
  <si>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</si>
  <si>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</si>
  <si>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</si>
  <si>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</si>
  <si>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</si>
  <si>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</si>
  <si>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</si>
  <si>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</si>
  <si>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</si>
  <si>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</si>
  <si>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</si>
  <si>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</si>
  <si>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</si>
  <si>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</si>
  <si>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</si>
  <si>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</si>
  <si>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</si>
  <si>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</si>
  <si>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</si>
  <si>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</si>
  <si>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</si>
  <si>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</si>
  <si>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</si>
  <si>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</si>
  <si>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</si>
  <si>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</si>
  <si>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</si>
  <si>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</si>
  <si>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</si>
  <si>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</si>
  <si>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</si>
  <si>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</si>
  <si>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</si>
  <si>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</si>
  <si>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</si>
  <si>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</si>
  <si>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</si>
  <si>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</si>
  <si>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</si>
  <si>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</si>
  <si>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</si>
  <si>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</si>
  <si>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</si>
  <si>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</si>
  <si>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</si>
  <si>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</si>
  <si>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</si>
  <si>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</si>
  <si>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</si>
  <si>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</si>
  <si>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</si>
  <si>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</si>
  <si>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</si>
  <si>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</si>
  <si>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</si>
  <si>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</si>
  <si>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</si>
  <si>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</si>
  <si>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</si>
  <si>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</si>
  <si>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</si>
  <si>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</si>
  <si>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</si>
  <si>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</si>
  <si>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</si>
  <si>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</si>
  <si>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</si>
  <si>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</si>
  <si>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</si>
  <si>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</si>
  <si>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</si>
  <si>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</si>
  <si>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</si>
  <si>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</si>
  <si>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</si>
  <si>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</si>
  <si>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</si>
  <si>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</si>
  <si>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</si>
  <si>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</si>
  <si>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</si>
  <si>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</si>
  <si>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</si>
  <si>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</si>
  <si>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</si>
  <si>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</si>
  <si>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</si>
  <si>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</si>
  <si>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</si>
  <si>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</si>
  <si>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</si>
  <si>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</si>
  <si>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</si>
  <si>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</si>
  <si>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</si>
  <si>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</si>
  <si>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</si>
  <si>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</si>
  <si>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</si>
  <si>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</si>
  <si>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</si>
  <si>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</si>
  <si>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</si>
  <si>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</si>
  <si>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</si>
  <si>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</si>
  <si>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</si>
  <si>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</si>
  <si>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</si>
  <si>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</si>
  <si>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</si>
  <si>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</si>
  <si>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</si>
  <si>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</si>
  <si>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</si>
  <si>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</si>
  <si>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</si>
  <si>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</si>
  <si>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</si>
  <si>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</si>
  <si>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</si>
  <si>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</si>
  <si>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</si>
  <si>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</si>
  <si>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</si>
  <si>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</si>
  <si>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</si>
  <si>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</si>
  <si>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</si>
  <si>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</si>
  <si>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</si>
  <si>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</si>
  <si>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</si>
  <si>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</si>
  <si>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</si>
  <si>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</si>
  <si>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</si>
  <si>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</si>
  <si>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</si>
  <si>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</si>
  <si>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</si>
  <si>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</si>
  <si>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</si>
  <si>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</si>
  <si>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</si>
  <si>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</si>
  <si>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</si>
  <si>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</si>
  <si>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</si>
  <si>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</si>
  <si>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</si>
  <si>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</si>
  <si>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</si>
  <si>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</si>
  <si>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</si>
  <si>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</si>
  <si>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</si>
  <si>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</si>
  <si>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</si>
  <si>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</si>
  <si>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</si>
  <si>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</si>
  <si>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</si>
  <si>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</si>
  <si>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</si>
  <si>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</si>
  <si>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</si>
  <si>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</si>
  <si>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к коллектору источника тепловой энергии</t>
  </si>
  <si>
    <t>организации-перепродавцы</t>
  </si>
  <si>
    <t>вода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</si>
  <si>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</si>
  <si>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</si>
  <si>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</si>
  <si>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</si>
  <si>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</si>
  <si>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</si>
  <si>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</si>
  <si>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</si>
  <si>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</si>
  <si>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</si>
  <si>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</si>
  <si>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</si>
  <si>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</si>
  <si>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</si>
  <si>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</si>
  <si>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</si>
  <si>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</si>
  <si>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</si>
  <si>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</si>
  <si>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</si>
  <si>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</si>
  <si>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</si>
  <si>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</si>
  <si>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</si>
  <si>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</si>
  <si>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</si>
  <si>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</si>
  <si>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</si>
  <si>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</si>
  <si>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</si>
  <si>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</si>
  <si>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</si>
  <si>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</si>
  <si>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</si>
  <si>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</si>
  <si>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</si>
  <si>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</si>
  <si>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</si>
  <si>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</si>
  <si>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</si>
  <si>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</si>
  <si>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</si>
  <si>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</si>
  <si>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</si>
  <si>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</si>
  <si>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</si>
  <si>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</si>
  <si>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</si>
  <si>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</si>
  <si>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</si>
  <si>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</si>
  <si>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</si>
  <si>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</si>
  <si>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</si>
  <si>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</si>
  <si>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</si>
  <si>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</si>
  <si>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</si>
  <si>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</si>
  <si>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</si>
  <si>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</si>
  <si>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</si>
  <si>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</si>
  <si>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</si>
  <si>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</si>
  <si>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</si>
  <si>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</si>
  <si>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</si>
  <si>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</si>
  <si>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</si>
  <si>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</si>
  <si>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</si>
  <si>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</si>
  <si>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</si>
  <si>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</si>
  <si>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</si>
  <si>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</si>
  <si>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</si>
  <si>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</si>
  <si>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</si>
  <si>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</si>
  <si>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</si>
  <si>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</si>
  <si>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</si>
  <si>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</si>
  <si>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</si>
  <si>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</si>
  <si>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</si>
  <si>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</si>
  <si>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</si>
  <si>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</si>
  <si>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</si>
  <si>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</si>
  <si>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</si>
  <si>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</si>
  <si>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</si>
  <si>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</si>
  <si>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</si>
  <si>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</si>
  <si>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</si>
  <si>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</si>
  <si>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</si>
  <si>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</si>
  <si>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</si>
  <si>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</si>
  <si>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</si>
  <si>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</si>
  <si>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</si>
  <si>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</si>
  <si>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</si>
  <si>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</si>
  <si>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</si>
  <si>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</si>
  <si>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</si>
  <si>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</si>
  <si>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</si>
  <si>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</si>
  <si>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</si>
  <si>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</si>
  <si>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</si>
  <si>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</si>
  <si>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</si>
  <si>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</si>
  <si>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</si>
  <si>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</si>
  <si>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</si>
  <si>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</si>
  <si>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</si>
  <si>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</si>
  <si>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</si>
  <si>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</si>
  <si>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</si>
  <si>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</si>
  <si>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</si>
  <si>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</si>
  <si>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</si>
  <si>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</si>
  <si>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</si>
  <si>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</si>
  <si>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</si>
  <si>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</si>
  <si>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</si>
  <si>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</si>
  <si>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</si>
  <si>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</si>
  <si>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</si>
  <si>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</si>
  <si>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</si>
  <si>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</si>
  <si>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</si>
  <si>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</si>
  <si>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</si>
  <si>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</si>
  <si>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</si>
  <si>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</si>
  <si>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</si>
  <si>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</si>
  <si>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</si>
  <si>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</si>
  <si>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</si>
  <si>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</si>
  <si>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</si>
  <si>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</si>
  <si>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</si>
  <si>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</si>
  <si>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</si>
  <si>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</si>
  <si>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</si>
  <si>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</si>
  <si>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</si>
  <si>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</si>
  <si>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</si>
  <si>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</si>
  <si>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</si>
  <si>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</si>
  <si>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</si>
  <si>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</si>
  <si>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</si>
  <si>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</si>
  <si>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</si>
  <si>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</si>
  <si>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</si>
  <si>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</si>
  <si>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</si>
  <si>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</si>
  <si>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</si>
  <si>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</si>
  <si>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</si>
  <si>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</si>
  <si>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</si>
  <si>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</si>
  <si>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</si>
  <si>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</si>
  <si>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</si>
  <si>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</si>
  <si>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</si>
  <si>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</si>
  <si>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</si>
  <si>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</si>
  <si>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</si>
  <si>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</si>
  <si>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</si>
  <si>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</si>
  <si>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</si>
  <si>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</si>
  <si>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</si>
  <si>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</si>
  <si>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</si>
  <si>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</si>
  <si>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</si>
  <si>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</si>
  <si>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</si>
  <si>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</si>
  <si>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</si>
  <si>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</si>
  <si>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</si>
  <si>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</si>
  <si>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</si>
  <si>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</si>
  <si>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</si>
  <si>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</si>
  <si>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</si>
  <si>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</si>
  <si>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</si>
  <si>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</si>
  <si>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</si>
  <si>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</si>
  <si>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</si>
  <si>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</si>
  <si>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</si>
  <si>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</si>
  <si>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</si>
  <si>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</si>
  <si>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</si>
  <si>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</si>
  <si>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</si>
  <si>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</si>
  <si>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</si>
  <si>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</si>
  <si>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</si>
  <si>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</si>
  <si>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</si>
  <si>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</si>
  <si>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</si>
  <si>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</si>
  <si>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</si>
  <si>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</si>
  <si>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</si>
  <si>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</si>
  <si>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</si>
  <si>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</si>
  <si>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</si>
  <si>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</si>
  <si>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</si>
  <si>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</si>
  <si>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</si>
  <si>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</si>
  <si>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</si>
  <si>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</si>
  <si>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</si>
  <si>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</si>
  <si>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</si>
  <si>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</si>
  <si>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</si>
  <si>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</si>
  <si>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</si>
  <si>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</si>
  <si>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</si>
  <si>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</si>
  <si>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</si>
  <si>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</si>
  <si>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</si>
  <si>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</si>
  <si>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</si>
  <si>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</si>
  <si>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</si>
  <si>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</si>
  <si>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</si>
  <si>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</si>
  <si>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</si>
  <si>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</si>
  <si>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</si>
  <si>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</si>
  <si>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</si>
  <si>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</si>
  <si>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</si>
  <si>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</si>
  <si>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</si>
  <si>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</si>
  <si>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</si>
  <si>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</si>
  <si>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</si>
  <si>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</si>
  <si>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</si>
  <si>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</si>
  <si>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</si>
  <si>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</si>
  <si>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</si>
  <si>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</si>
  <si>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</si>
  <si>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</si>
  <si>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</si>
  <si>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</si>
  <si>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</si>
  <si>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</si>
  <si>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</si>
  <si>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</si>
  <si>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</si>
  <si>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</si>
  <si>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</si>
  <si>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</si>
  <si>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</si>
  <si>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</si>
  <si>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</si>
  <si>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</si>
  <si>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</si>
  <si>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</si>
  <si>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</si>
  <si>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</si>
  <si>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</si>
  <si>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</si>
  <si>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</si>
  <si>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</si>
  <si>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</si>
  <si>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</si>
  <si>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</si>
  <si>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</si>
  <si>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</si>
  <si>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</si>
  <si>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</si>
  <si>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</si>
  <si>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</si>
  <si>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</si>
  <si>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</si>
  <si>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</si>
  <si>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</si>
  <si>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</si>
  <si>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</si>
  <si>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</si>
  <si>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</si>
  <si>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</si>
  <si>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</si>
  <si>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</si>
  <si>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</si>
  <si>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</si>
  <si>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</si>
  <si>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</si>
  <si>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</si>
  <si>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</si>
  <si>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</si>
  <si>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</si>
  <si>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</si>
  <si>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</si>
  <si>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</si>
  <si>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</si>
  <si>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</si>
  <si>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</si>
  <si>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</si>
  <si>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</si>
  <si>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</si>
  <si>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</si>
  <si>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</si>
  <si>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</si>
  <si>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</si>
  <si>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</si>
  <si>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</si>
  <si>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</si>
  <si>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</si>
  <si>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</si>
  <si>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</si>
  <si>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</si>
  <si>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</si>
  <si>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</si>
  <si>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</si>
  <si>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</si>
  <si>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</si>
  <si>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</si>
  <si>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</si>
  <si>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</si>
  <si>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</si>
  <si>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</si>
  <si>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</si>
  <si>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</si>
  <si>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</si>
  <si>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</si>
  <si>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</si>
  <si>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</si>
  <si>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</si>
  <si>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</si>
  <si>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</si>
  <si>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</si>
  <si>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</si>
  <si>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</si>
  <si>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</si>
  <si>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</si>
  <si>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</si>
  <si>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</si>
  <si>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</si>
  <si>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</si>
  <si>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</si>
  <si>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</si>
  <si>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</si>
  <si>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</si>
  <si>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</si>
  <si>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</si>
  <si>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</si>
  <si>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</si>
  <si>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</si>
  <si>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</si>
  <si>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</si>
  <si>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</si>
  <si>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</si>
  <si>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</si>
  <si>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</si>
  <si>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</si>
  <si>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</si>
  <si>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</si>
  <si>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</si>
  <si>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</si>
  <si>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</si>
  <si>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</si>
  <si>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</si>
  <si>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</si>
  <si>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</si>
  <si>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</si>
  <si>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</si>
  <si>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</si>
  <si>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</si>
  <si>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</si>
  <si>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</si>
  <si>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</si>
  <si>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</si>
  <si>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</si>
  <si>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</si>
  <si>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</si>
  <si>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</si>
  <si>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</si>
  <si>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</si>
  <si>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</si>
  <si>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</si>
  <si>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</si>
  <si>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</si>
  <si>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</si>
  <si>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</si>
  <si>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</si>
  <si>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</si>
  <si>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</si>
  <si>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</si>
  <si>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</si>
  <si>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</si>
  <si>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</si>
  <si>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</si>
  <si>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</si>
  <si>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</si>
  <si>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</si>
  <si>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</si>
  <si>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</si>
  <si>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</si>
  <si>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</si>
  <si>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</si>
  <si>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</si>
  <si>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</si>
  <si>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</si>
  <si>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</si>
  <si>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</si>
  <si>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</si>
  <si>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</si>
  <si>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</si>
  <si>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</si>
  <si>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</si>
  <si>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</si>
  <si>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</si>
  <si>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</si>
  <si>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</si>
  <si>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</si>
  <si>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</si>
  <si>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</si>
  <si>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</si>
  <si>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</si>
  <si>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</si>
  <si>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</si>
  <si>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</si>
  <si>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</si>
  <si>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</si>
  <si>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</si>
  <si>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</si>
  <si>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</si>
  <si>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</si>
  <si>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</si>
  <si>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</si>
  <si>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</si>
  <si>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</si>
  <si>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</si>
  <si>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</si>
  <si>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</si>
  <si>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</si>
  <si>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</si>
  <si>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</si>
  <si>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</si>
  <si>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</si>
  <si>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</si>
  <si>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</si>
  <si>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</si>
  <si>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</si>
  <si>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</si>
  <si>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</si>
  <si>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</si>
  <si>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</si>
  <si>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</si>
  <si>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</si>
  <si>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</si>
  <si>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</si>
  <si>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</si>
  <si>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</si>
  <si>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</si>
  <si>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</si>
  <si>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</si>
  <si>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</si>
  <si>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</si>
  <si>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</si>
  <si>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</si>
  <si>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</si>
  <si>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</si>
  <si>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</si>
  <si>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</si>
  <si>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</si>
  <si>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</si>
  <si>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</si>
  <si>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</si>
  <si>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</si>
  <si>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</si>
  <si>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</si>
  <si>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</si>
  <si>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</si>
  <si>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</si>
  <si>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</si>
  <si>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</si>
  <si>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</si>
  <si>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</si>
  <si>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</si>
  <si>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</si>
  <si>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</si>
  <si>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</si>
  <si>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</si>
  <si>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</si>
  <si>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</si>
  <si>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</si>
  <si>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</si>
  <si>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</si>
  <si>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</si>
  <si>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</si>
  <si>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</si>
  <si>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</si>
  <si>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</si>
  <si>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</si>
  <si>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</si>
  <si>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</si>
  <si>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</si>
  <si>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</si>
  <si>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</si>
  <si>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</si>
  <si>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</si>
  <si>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</si>
  <si>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</si>
  <si>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</si>
  <si>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</si>
  <si>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</si>
  <si>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</si>
  <si>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</si>
  <si>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</si>
  <si>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</si>
  <si>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</si>
  <si>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</si>
  <si>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</si>
  <si>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</si>
  <si>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</si>
  <si>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</si>
  <si>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</si>
  <si>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</si>
  <si>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</si>
  <si>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</si>
  <si>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</si>
  <si>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</si>
  <si>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</si>
  <si>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</si>
  <si>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</si>
  <si>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</si>
  <si>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</si>
  <si>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</si>
  <si>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</si>
  <si>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</si>
  <si>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</si>
  <si>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</si>
  <si>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</si>
  <si>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</si>
  <si>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</si>
  <si>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</si>
  <si>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</si>
  <si>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</si>
  <si>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</si>
  <si>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</si>
  <si>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</si>
  <si>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</si>
  <si>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</si>
  <si>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</si>
  <si>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</si>
  <si>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</si>
  <si>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</si>
  <si>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</si>
  <si>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</si>
  <si>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</si>
  <si>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</si>
  <si>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</si>
  <si>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</si>
  <si>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</si>
  <si>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</si>
  <si>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</si>
  <si>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</si>
  <si>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</si>
  <si>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</si>
  <si>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</si>
  <si>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</si>
  <si>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</si>
  <si>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</si>
  <si>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</si>
  <si>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</si>
  <si>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</si>
  <si>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</si>
  <si>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</si>
  <si>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</si>
  <si>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</si>
  <si>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</si>
  <si>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</si>
  <si>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</si>
  <si>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</si>
  <si>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</si>
  <si>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</si>
  <si>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</si>
  <si>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</si>
  <si>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</si>
  <si>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</si>
  <si>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</si>
  <si>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</si>
  <si>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</si>
  <si>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</si>
  <si>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</si>
  <si>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</si>
  <si>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</si>
  <si>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</si>
  <si>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</si>
  <si>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</si>
  <si>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</si>
  <si>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</si>
  <si>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</si>
  <si>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</si>
  <si>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</si>
  <si>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</si>
  <si>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</si>
  <si>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</si>
  <si>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</si>
  <si>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</si>
  <si>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</si>
  <si>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</si>
  <si>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</si>
  <si>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</si>
  <si>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</si>
  <si>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</si>
  <si>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</si>
  <si>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</si>
  <si>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</si>
  <si>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</si>
  <si>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</si>
  <si>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</si>
  <si>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</si>
  <si>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</si>
  <si>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</si>
  <si>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</si>
  <si>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</si>
  <si>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</si>
  <si>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</si>
  <si>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</si>
  <si>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</si>
  <si>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</si>
  <si>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</si>
  <si>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</si>
  <si>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</si>
  <si>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</si>
  <si>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</si>
  <si>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</si>
  <si>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</si>
  <si>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</si>
  <si>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</si>
  <si>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</si>
  <si>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</si>
  <si>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</si>
  <si>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</si>
  <si>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</si>
  <si>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</si>
  <si>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</si>
  <si>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</si>
  <si>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метод индексации установленных тарифов</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</si>
  <si>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</si>
  <si>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</si>
  <si>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</si>
  <si>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</si>
  <si>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Официальный сайт ООО "Ноябрьская ПГЭ" - нпгэ.рф</t>
  </si>
  <si>
    <t>http://нпгэ.рф/wp-content/uploads/2012/12/polozhenie-o-zakupkah-npge-itogovoe.pdf</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</si>
  <si>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</si>
  <si>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http://нпгэ.рф/?page_id=86</t>
  </si>
  <si>
    <t>http://нпгэ.рф/?page_id=89</t>
  </si>
  <si>
    <t>http://нпгэ.рф/?cat=8</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</si>
  <si>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</si>
  <si>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</si>
  <si>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</si>
  <si>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</si>
  <si>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</si>
  <si>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</si>
  <si>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</si>
  <si>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</si>
  <si>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</si>
  <si>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</si>
  <si>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</si>
  <si>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</si>
  <si>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</si>
  <si>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</si>
  <si>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</si>
  <si>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</si>
  <si>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</si>
  <si>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</si>
  <si>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</si>
  <si>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</si>
  <si>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</si>
  <si>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</si>
  <si>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</si>
  <si>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</si>
  <si>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</si>
  <si>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</si>
  <si>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</si>
  <si>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</si>
  <si>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</si>
  <si>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</si>
  <si>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</si>
  <si>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</si>
  <si>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</si>
  <si>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</si>
  <si>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</si>
  <si>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</si>
  <si>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</si>
  <si>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</si>
  <si>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</si>
  <si>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</si>
  <si>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</si>
  <si>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</si>
  <si>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</si>
  <si>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</si>
  <si>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</si>
  <si>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</si>
  <si>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</si>
  <si>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</si>
  <si>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</si>
  <si>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</si>
  <si>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</si>
  <si>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</si>
  <si>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</si>
  <si>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</si>
  <si>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</si>
  <si>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</si>
  <si>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</si>
  <si>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</si>
  <si>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</si>
  <si>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без дифференциации</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</si>
  <si>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</si>
  <si>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</si>
  <si>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</si>
  <si>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</si>
  <si>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</si>
  <si>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</si>
  <si>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</si>
  <si>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</si>
  <si>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</si>
  <si>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</si>
  <si>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</si>
  <si>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</si>
  <si>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</si>
  <si>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</si>
  <si>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</si>
  <si>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</si>
  <si>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</si>
  <si>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</si>
  <si>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</si>
  <si>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</si>
  <si>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</si>
  <si>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</si>
  <si>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</si>
  <si>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</si>
  <si>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</si>
  <si>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</si>
  <si>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</si>
  <si>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</si>
  <si>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</si>
  <si>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</si>
  <si>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</si>
  <si>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</si>
  <si>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</si>
  <si>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</si>
  <si>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</si>
  <si>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</si>
  <si>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</si>
  <si>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</si>
  <si>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</si>
  <si>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</si>
  <si>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</si>
  <si>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</si>
  <si>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</si>
  <si>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</si>
  <si>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</si>
  <si>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</si>
  <si>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</si>
  <si>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</si>
  <si>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</si>
  <si>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</si>
  <si>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</si>
  <si>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</si>
  <si>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</si>
  <si>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</si>
  <si>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</si>
  <si>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</si>
  <si>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</si>
  <si>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</si>
  <si>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</si>
  <si>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</si>
  <si>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</si>
  <si>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</si>
  <si>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</si>
  <si>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</si>
  <si>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</si>
  <si>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</si>
  <si>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</si>
  <si>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</si>
  <si>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</si>
  <si>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</si>
  <si>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</si>
  <si>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</si>
  <si>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</si>
  <si>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</si>
  <si>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</si>
  <si>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</si>
  <si>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</si>
  <si>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</si>
  <si>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</si>
  <si>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</si>
  <si>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</si>
  <si>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</si>
  <si>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</si>
  <si>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</si>
  <si>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</si>
  <si>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</si>
  <si>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</si>
  <si>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</si>
  <si>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</si>
  <si>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</si>
  <si>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</si>
  <si>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</si>
  <si>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</si>
  <si>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</si>
  <si>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</si>
  <si>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</si>
  <si>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</si>
  <si>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</si>
  <si>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</si>
  <si>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</si>
  <si>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</si>
  <si>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</si>
  <si>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</si>
  <si>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</si>
  <si>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</si>
  <si>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</si>
  <si>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</si>
  <si>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</si>
  <si>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</si>
  <si>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</si>
  <si>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</si>
  <si>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</si>
  <si>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</si>
  <si>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</si>
  <si>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</si>
  <si>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</si>
  <si>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</si>
  <si>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</si>
  <si>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</si>
  <si>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</si>
  <si>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</si>
  <si>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</si>
  <si>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</si>
  <si>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</si>
  <si>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</si>
  <si>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</si>
  <si>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</si>
  <si>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</si>
  <si>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</si>
  <si>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</si>
  <si>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</si>
  <si>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</si>
  <si>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</si>
  <si>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</si>
  <si>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</si>
  <si>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</si>
  <si>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</si>
  <si>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</si>
  <si>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</si>
  <si>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</si>
  <si>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</si>
  <si>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</si>
  <si>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</si>
  <si>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</si>
  <si>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</si>
  <si>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</si>
  <si>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</si>
  <si>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</si>
  <si>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</si>
  <si>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</si>
  <si>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</si>
  <si>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</si>
  <si>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</si>
  <si>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</si>
  <si>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</si>
  <si>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</si>
  <si>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</si>
  <si>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</si>
  <si>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</si>
  <si>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</si>
  <si>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</si>
  <si>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</si>
  <si>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</si>
  <si>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</si>
  <si>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</si>
  <si>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</si>
  <si>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</si>
  <si>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</si>
  <si>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</si>
  <si>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</si>
  <si>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</si>
  <si>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</si>
  <si>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</si>
  <si>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</si>
  <si>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</si>
  <si>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</si>
  <si>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</si>
  <si>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</si>
  <si>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</si>
  <si>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</si>
  <si>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</si>
  <si>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</si>
  <si>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</si>
  <si>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</si>
  <si>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</si>
  <si>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</si>
  <si>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</si>
  <si>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</si>
  <si>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</si>
  <si>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</si>
  <si>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</si>
  <si>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</si>
  <si>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</si>
  <si>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</si>
  <si>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</si>
  <si>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</si>
  <si>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</si>
  <si>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</si>
  <si>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</si>
  <si>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</si>
  <si>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</si>
  <si>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</si>
  <si>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</si>
  <si>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</si>
  <si>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</si>
  <si>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</si>
  <si>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</si>
  <si>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</si>
  <si>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</si>
  <si>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</si>
  <si>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</si>
  <si>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</si>
  <si>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</si>
  <si>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</si>
  <si>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</si>
  <si>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</si>
  <si>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</si>
  <si>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</si>
  <si>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</si>
  <si>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</si>
  <si>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</si>
  <si>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</si>
  <si>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</si>
  <si>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</si>
  <si>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</si>
  <si>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</si>
  <si>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</si>
  <si>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</si>
  <si>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</si>
  <si>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</si>
  <si>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</si>
  <si>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</si>
  <si>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</si>
  <si>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</si>
  <si>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</si>
  <si>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</si>
  <si>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</si>
  <si>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</si>
  <si>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</si>
  <si>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</si>
  <si>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</si>
  <si>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</si>
  <si>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</si>
  <si>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</si>
  <si>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</si>
  <si>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</si>
  <si>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</si>
  <si>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</si>
  <si>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</si>
  <si>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</si>
  <si>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</si>
  <si>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</si>
  <si>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</si>
  <si>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</si>
  <si>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</si>
  <si>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</si>
  <si>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</si>
  <si>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</si>
  <si>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</si>
  <si>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</si>
  <si>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</si>
  <si>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</si>
  <si>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</si>
  <si>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</si>
  <si>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</si>
  <si>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</si>
  <si>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</si>
  <si>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</si>
  <si>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</si>
  <si>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</si>
  <si>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</si>
  <si>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</si>
  <si>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</si>
  <si>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</si>
  <si>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</si>
  <si>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</si>
  <si>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</si>
  <si>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</si>
  <si>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</si>
  <si>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</si>
  <si>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</si>
  <si>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</si>
  <si>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</si>
  <si>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</si>
  <si>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</si>
  <si>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</si>
  <si>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</si>
  <si>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</si>
  <si>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</si>
  <si>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</si>
  <si>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</si>
  <si>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</si>
  <si>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</si>
  <si>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</si>
  <si>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</si>
  <si>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</si>
  <si>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</si>
  <si>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</si>
  <si>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</si>
  <si>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</si>
  <si>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</si>
  <si>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</si>
  <si>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</si>
  <si>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</si>
  <si>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</si>
  <si>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</si>
  <si>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</si>
  <si>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</si>
  <si>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</si>
  <si>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</si>
  <si>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</si>
  <si>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</si>
  <si>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</si>
  <si>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</si>
  <si>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</si>
  <si>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</si>
  <si>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</si>
  <si>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</si>
  <si>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</si>
  <si>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</si>
  <si>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</si>
  <si>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</si>
  <si>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</si>
  <si>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</si>
  <si>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</si>
  <si>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</si>
  <si>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</si>
  <si>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</si>
  <si>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</si>
  <si>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</si>
  <si>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</si>
  <si>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</si>
  <si>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</si>
  <si>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</si>
  <si>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</si>
  <si>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</si>
  <si>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</si>
  <si>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</si>
  <si>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</si>
  <si>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</si>
  <si>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</si>
  <si>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</si>
  <si>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</si>
  <si>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</si>
  <si>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</si>
  <si>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</si>
  <si>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</si>
  <si>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</si>
  <si>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</si>
  <si>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</si>
  <si>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</si>
  <si>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</si>
  <si>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</si>
  <si>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</si>
  <si>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</si>
  <si>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</si>
  <si>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</si>
  <si>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</si>
  <si>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</si>
  <si>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</si>
  <si>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</si>
  <si>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</si>
  <si>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</si>
  <si>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</si>
  <si>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</si>
  <si>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</si>
  <si>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</si>
  <si>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</si>
  <si>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</si>
  <si>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</si>
  <si>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</si>
  <si>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</si>
  <si>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</si>
  <si>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</si>
  <si>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</si>
  <si>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</si>
  <si>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</si>
  <si>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</si>
  <si>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</si>
  <si>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</si>
  <si>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</si>
  <si>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</si>
  <si>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</si>
  <si>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</si>
  <si>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</si>
  <si>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</si>
  <si>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</si>
  <si>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</si>
  <si>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</si>
  <si>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</si>
  <si>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</si>
  <si>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</si>
  <si>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</si>
  <si>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</si>
  <si>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</si>
  <si>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</si>
  <si>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</si>
  <si>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</si>
  <si>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</si>
  <si>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</si>
  <si>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</si>
  <si>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</si>
  <si>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</si>
  <si>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</si>
  <si>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</si>
  <si>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</si>
  <si>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</si>
  <si>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</si>
  <si>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</si>
  <si>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</si>
  <si>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</si>
  <si>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</si>
  <si>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</si>
  <si>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</si>
  <si>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</si>
  <si>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</si>
  <si>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</si>
  <si>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</si>
  <si>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</si>
  <si>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</si>
  <si>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</si>
  <si>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</si>
  <si>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</si>
  <si>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</si>
  <si>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</si>
  <si>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</si>
  <si>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</si>
  <si>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</si>
  <si>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</si>
  <si>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</si>
  <si>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</si>
  <si>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</si>
  <si>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</si>
  <si>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</si>
  <si>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</si>
  <si>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</si>
  <si>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</si>
  <si>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</si>
  <si>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</si>
  <si>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</si>
  <si>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</si>
  <si>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</si>
  <si>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</si>
  <si>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</si>
  <si>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</si>
  <si>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</si>
  <si>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</si>
  <si>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</si>
  <si>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</si>
  <si>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</si>
  <si>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</si>
  <si>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</si>
  <si>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</si>
  <si>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</si>
  <si>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</si>
  <si>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</si>
  <si>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</si>
  <si>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</si>
  <si>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</si>
  <si>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</si>
  <si>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</si>
  <si>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</si>
  <si>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</si>
  <si>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</si>
  <si>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</si>
  <si>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</si>
  <si>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</si>
  <si>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</si>
  <si>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</si>
  <si>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</si>
  <si>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</si>
  <si>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</si>
  <si>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</si>
  <si>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</si>
  <si>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</si>
  <si>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</si>
  <si>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</si>
  <si>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</si>
  <si>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</si>
  <si>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</si>
  <si>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</si>
  <si>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</si>
  <si>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</si>
  <si>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</si>
  <si>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</si>
  <si>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</si>
  <si>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</si>
  <si>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</si>
  <si>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</si>
  <si>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</si>
  <si>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</si>
  <si>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</si>
  <si>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</si>
  <si>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</si>
  <si>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</si>
  <si>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</si>
  <si>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</si>
  <si>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</si>
  <si>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</si>
  <si>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</si>
  <si>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</si>
  <si>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</si>
  <si>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</si>
  <si>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</si>
  <si>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</si>
  <si>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</si>
  <si>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</si>
  <si>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</si>
  <si>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</si>
  <si>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</si>
  <si>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</si>
  <si>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</si>
  <si>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</si>
  <si>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</si>
  <si>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</si>
  <si>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</si>
  <si>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</si>
  <si>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</si>
  <si>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</si>
  <si>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</si>
  <si>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</si>
  <si>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</si>
  <si>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</si>
  <si>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</si>
  <si>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</si>
  <si>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</si>
  <si>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</si>
  <si>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</si>
  <si>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</si>
  <si>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</si>
  <si>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</si>
  <si>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</si>
  <si>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</si>
  <si>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</si>
  <si>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</si>
  <si>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</si>
  <si>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</si>
  <si>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</si>
  <si>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</si>
  <si>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</si>
  <si>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</si>
  <si>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</si>
  <si>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</si>
  <si>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</si>
  <si>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</si>
  <si>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</si>
  <si>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</si>
  <si>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</si>
  <si>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</si>
  <si>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</si>
  <si>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</si>
  <si>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</si>
  <si>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</si>
  <si>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</si>
  <si>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</si>
  <si>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</si>
  <si>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</si>
  <si>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</si>
  <si>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</si>
  <si>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</si>
  <si>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</si>
  <si>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</si>
  <si>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</si>
  <si>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</si>
  <si>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</si>
  <si>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</si>
  <si>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</si>
  <si>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</si>
  <si>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</si>
  <si>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</si>
  <si>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</si>
  <si>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</si>
  <si>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</si>
  <si>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</si>
  <si>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</si>
  <si>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</si>
  <si>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</si>
  <si>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</si>
  <si>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</si>
  <si>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</si>
  <si>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</si>
  <si>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</si>
  <si>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</si>
  <si>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</si>
  <si>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</si>
  <si>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</si>
  <si>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</si>
  <si>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</si>
  <si>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</si>
  <si>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</si>
  <si>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</si>
  <si>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</si>
  <si>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</si>
  <si>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</si>
  <si>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</si>
  <si>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</si>
  <si>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</si>
  <si>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</si>
  <si>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</si>
  <si>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</si>
  <si>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</si>
  <si>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</si>
  <si>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</si>
  <si>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</si>
  <si>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</si>
  <si>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</si>
  <si>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</si>
  <si>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</si>
  <si>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</si>
  <si>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</si>
  <si>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</si>
  <si>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</si>
  <si>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</si>
  <si>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</si>
  <si>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</si>
  <si>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</si>
  <si>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</si>
  <si>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</si>
  <si>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</si>
  <si>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</si>
  <si>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</si>
  <si>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</si>
  <si>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</si>
  <si>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</si>
  <si>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</si>
  <si>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</si>
  <si>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</si>
  <si>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</si>
  <si>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</si>
  <si>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</si>
  <si>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</si>
  <si>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</si>
  <si>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</si>
  <si>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</si>
  <si>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</si>
  <si>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</si>
  <si>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</si>
  <si>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</si>
  <si>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</si>
  <si>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</si>
  <si>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</si>
  <si>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</si>
  <si>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</si>
  <si>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</si>
  <si>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</si>
  <si>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</si>
  <si>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</si>
  <si>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</si>
  <si>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</si>
  <si>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</si>
  <si>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</si>
  <si>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</si>
  <si>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</si>
  <si>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</si>
  <si>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</si>
  <si>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</si>
  <si>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</si>
  <si>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</si>
  <si>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</si>
  <si>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</si>
  <si>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</si>
  <si>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</si>
  <si>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</si>
  <si>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</si>
  <si>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</si>
  <si>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</si>
  <si>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</si>
  <si>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</si>
  <si>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</si>
  <si>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</si>
  <si>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</si>
  <si>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</si>
  <si>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</si>
  <si>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</si>
  <si>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</si>
  <si>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</si>
  <si>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</si>
  <si>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Скорректированная заявка на установление долгосрочных тарифов на тепловую энергию для потребителей ООО "Ноябрьская ПГЭ" на 2025 - 2029 годы</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</si>
  <si>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</si>
  <si>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</si>
  <si>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</si>
  <si>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</si>
  <si>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</si>
  <si>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</si>
  <si>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</si>
  <si>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</si>
  <si>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</si>
  <si>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</si>
  <si>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</si>
  <si>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</si>
  <si>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</si>
  <si>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</si>
  <si>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</si>
  <si>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</si>
  <si>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</si>
  <si>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</si>
  <si>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</si>
  <si>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</si>
  <si>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</si>
  <si>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</si>
  <si>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</si>
  <si>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</si>
  <si>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</si>
  <si>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</si>
  <si>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</si>
  <si>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</si>
  <si>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</si>
  <si>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</si>
  <si>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</si>
  <si>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</si>
  <si>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</si>
  <si>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</si>
  <si>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</si>
  <si>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</si>
  <si>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</si>
  <si>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</si>
  <si>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</si>
  <si>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</si>
  <si>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</si>
  <si>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</si>
  <si>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</si>
  <si>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</si>
  <si>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</si>
  <si>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</si>
  <si>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</si>
  <si>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</si>
  <si>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</si>
  <si>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</si>
  <si>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</si>
  <si>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</si>
  <si>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</si>
  <si>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</si>
  <si>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</si>
  <si>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</si>
  <si>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</si>
  <si>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</si>
  <si>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</si>
  <si>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</si>
  <si>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</si>
  <si>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</si>
  <si>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</si>
  <si>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</si>
  <si>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</si>
  <si>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</si>
  <si>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</si>
  <si>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</si>
  <si>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</si>
  <si>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</si>
  <si>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</si>
  <si>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</si>
  <si>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</si>
  <si>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</si>
  <si>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</si>
  <si>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</si>
  <si>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</si>
  <si>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</si>
  <si>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</si>
  <si>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</si>
  <si>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</si>
  <si>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</si>
  <si>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</si>
  <si>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</si>
  <si>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</si>
  <si>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</si>
  <si>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</si>
  <si>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</si>
  <si>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</si>
  <si>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</si>
  <si>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</si>
  <si>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</si>
  <si>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</si>
  <si>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</si>
  <si>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</si>
  <si>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</si>
  <si>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</si>
  <si>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</si>
  <si>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</si>
  <si>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</si>
  <si>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</si>
  <si>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</si>
  <si>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</si>
  <si>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</si>
  <si>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</si>
  <si>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</si>
  <si>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</si>
  <si>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</si>
  <si>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</si>
  <si>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</si>
  <si>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</si>
  <si>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</si>
  <si>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</si>
  <si>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</si>
  <si>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</si>
  <si>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</si>
  <si>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</si>
  <si>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</si>
  <si>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</si>
  <si>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</si>
  <si>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</si>
  <si>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</si>
  <si>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</si>
  <si>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</si>
  <si>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</si>
  <si>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</si>
  <si>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</si>
  <si>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</si>
  <si>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</si>
  <si>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</si>
  <si>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</si>
  <si>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</si>
  <si>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</si>
  <si>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</si>
  <si>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</si>
  <si>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</si>
  <si>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</si>
  <si>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</si>
  <si>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</si>
  <si>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</si>
  <si>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</si>
  <si>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</si>
  <si>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</si>
  <si>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</si>
  <si>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</si>
  <si>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</si>
  <si>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</si>
  <si>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</si>
  <si>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</si>
  <si>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</si>
  <si>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</si>
  <si>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</si>
  <si>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</si>
  <si>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</si>
  <si>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</si>
  <si>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</si>
  <si>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</si>
  <si>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</si>
  <si>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</si>
  <si>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</si>
  <si>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</si>
  <si>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</si>
  <si>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</si>
  <si>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</si>
  <si>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</si>
  <si>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</si>
  <si>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</si>
  <si>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</si>
  <si>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</si>
  <si>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</si>
  <si>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</si>
  <si>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</si>
  <si>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</si>
  <si>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</si>
  <si>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</si>
  <si>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</si>
  <si>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</si>
  <si>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</si>
  <si>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</si>
  <si>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</si>
  <si>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</si>
  <si>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</si>
  <si>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</si>
  <si>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</si>
  <si>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</si>
  <si>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</si>
  <si>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</si>
  <si>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</si>
  <si>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</si>
  <si>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</si>
  <si>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</si>
  <si>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</si>
  <si>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</si>
  <si>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</si>
  <si>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</si>
  <si>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</si>
  <si>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</si>
  <si>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</si>
  <si>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</si>
  <si>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</si>
  <si>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</si>
  <si>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</si>
  <si>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</si>
  <si>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</si>
  <si>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</si>
  <si>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</si>
  <si>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</si>
  <si>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</si>
  <si>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</si>
  <si>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</si>
  <si>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</si>
  <si>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</si>
  <si>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</si>
  <si>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</si>
  <si>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</si>
  <si>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</si>
  <si>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</si>
  <si>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</si>
  <si>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</si>
  <si>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</si>
  <si>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</si>
  <si>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</si>
  <si>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</si>
  <si>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</si>
  <si>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</si>
  <si>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</si>
  <si>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</si>
  <si>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</si>
  <si>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</si>
  <si>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</si>
  <si>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</si>
  <si>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</si>
  <si>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</si>
  <si>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</si>
  <si>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</si>
  <si>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</si>
  <si>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</si>
  <si>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</si>
  <si>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</si>
  <si>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</si>
  <si>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</si>
  <si>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</si>
  <si>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</si>
  <si>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</si>
  <si>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</si>
  <si>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</si>
  <si>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</si>
  <si>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</si>
  <si>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</si>
  <si>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</si>
  <si>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</si>
  <si>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</si>
  <si>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</si>
  <si>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</si>
  <si>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</si>
  <si>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</si>
  <si>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</si>
  <si>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</si>
  <si>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</si>
  <si>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</si>
  <si>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</si>
  <si>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</si>
  <si>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</si>
  <si>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</si>
  <si>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</si>
  <si>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</si>
  <si>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</si>
  <si>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</si>
  <si>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</si>
  <si>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</si>
  <si>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</si>
  <si>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</si>
  <si>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</si>
  <si>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</si>
  <si>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</si>
  <si>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</si>
  <si>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</si>
  <si>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</si>
  <si>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</si>
  <si>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</si>
  <si>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</si>
  <si>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</si>
  <si>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</si>
  <si>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</si>
  <si>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</si>
  <si>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</si>
  <si>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</si>
  <si>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</si>
  <si>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</si>
  <si>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</si>
  <si>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</si>
  <si>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</si>
  <si>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</si>
  <si>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</si>
  <si>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</si>
  <si>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</si>
  <si>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</si>
  <si>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</si>
  <si>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</si>
  <si>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</si>
  <si>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</si>
  <si>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</si>
  <si>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</si>
  <si>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</si>
  <si>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</si>
  <si>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</si>
  <si>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</si>
  <si>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</si>
  <si>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</si>
  <si>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</si>
  <si>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</si>
  <si>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</si>
  <si>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</si>
  <si>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</si>
  <si>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</si>
  <si>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</si>
  <si>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</si>
  <si>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</si>
  <si>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</si>
  <si>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</si>
  <si>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</si>
  <si>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</si>
  <si>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</si>
  <si>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</si>
  <si>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</si>
  <si>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</si>
  <si>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</si>
  <si>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</si>
  <si>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</si>
  <si>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</si>
  <si>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</si>
  <si>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</si>
  <si>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</si>
  <si>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</si>
  <si>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</si>
  <si>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</si>
  <si>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</si>
  <si>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</si>
  <si>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</si>
  <si>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</si>
  <si>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</si>
  <si>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</si>
  <si>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</si>
  <si>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</si>
  <si>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</si>
  <si>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</si>
  <si>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</si>
  <si>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</si>
  <si>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</si>
  <si>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</si>
  <si>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2648</t>
  </si>
  <si>
    <t>26361211</t>
  </si>
  <si>
    <t>АО "Аэропорт Сургут"</t>
  </si>
  <si>
    <t>8602060523</t>
  </si>
  <si>
    <t>860201001</t>
  </si>
  <si>
    <t>04-09-1997 00:00:00</t>
  </si>
  <si>
    <t>26405782</t>
  </si>
  <si>
    <t>АО "Вынгапуровский тепловодоканал"</t>
  </si>
  <si>
    <t>8905045443</t>
  </si>
  <si>
    <t>14-04-2009 00:00:00</t>
  </si>
  <si>
    <t>26522777</t>
  </si>
  <si>
    <t>АО "Газпром энергосбыт Тюмень"</t>
  </si>
  <si>
    <t>8602067215</t>
  </si>
  <si>
    <t>01-07-2005 00:00:00</t>
  </si>
  <si>
    <t>26590793</t>
  </si>
  <si>
    <t>АО "Надымское авиапредприятие"</t>
  </si>
  <si>
    <t>8903025610</t>
  </si>
  <si>
    <t>890301001</t>
  </si>
  <si>
    <t>26361326</t>
  </si>
  <si>
    <t>АО "Новоуренгойский ОАО"</t>
  </si>
  <si>
    <t>8904045602</t>
  </si>
  <si>
    <t>890401001</t>
  </si>
  <si>
    <t>26522781</t>
  </si>
  <si>
    <t>АО "Россети Тюмень"</t>
  </si>
  <si>
    <t>8602060185</t>
  </si>
  <si>
    <t>997650001</t>
  </si>
  <si>
    <t>26361210</t>
  </si>
  <si>
    <t>АО "Россети Тюмень" филиал "Северные электрические сети"</t>
  </si>
  <si>
    <t>890402002</t>
  </si>
  <si>
    <t>26361309</t>
  </si>
  <si>
    <t>АО "Салехардэнерго"</t>
  </si>
  <si>
    <t>8901030855</t>
  </si>
  <si>
    <t>890101001</t>
  </si>
  <si>
    <t>26539156</t>
  </si>
  <si>
    <t>АО "Уренгойгорводоканал"</t>
  </si>
  <si>
    <t>8904046652</t>
  </si>
  <si>
    <t>26405756</t>
  </si>
  <si>
    <t>АО "Уренгойтеплогенерация-1"</t>
  </si>
  <si>
    <t>8904057830</t>
  </si>
  <si>
    <t>26318629</t>
  </si>
  <si>
    <t>АО "Харп-Энерго-Газ"</t>
  </si>
  <si>
    <t>8901016850</t>
  </si>
  <si>
    <t>890801001</t>
  </si>
  <si>
    <t>26383121</t>
  </si>
  <si>
    <t>АО "Энерго-Газ-Ноябрьск"</t>
  </si>
  <si>
    <t>8905033649</t>
  </si>
  <si>
    <t>23-06-2004 00:00:00</t>
  </si>
  <si>
    <t>28424948</t>
  </si>
  <si>
    <t>АО "Ямалкоммунэнерго"</t>
  </si>
  <si>
    <t>8901025421</t>
  </si>
  <si>
    <t>27664323</t>
  </si>
  <si>
    <t>АО "Ямалкоммунэнерго" филиал в Надымском районе</t>
  </si>
  <si>
    <t>890343001</t>
  </si>
  <si>
    <t>26-03-2012 00:00:00</t>
  </si>
  <si>
    <t>28545795</t>
  </si>
  <si>
    <t>АО "Ямалкоммунэнерго" филиал в Приуральском районе</t>
  </si>
  <si>
    <t>28507609</t>
  </si>
  <si>
    <t>АО "Ямалкоммунэнерго" филиал в Пуровском районе "Тепло"</t>
  </si>
  <si>
    <t>891143001</t>
  </si>
  <si>
    <t>24-04-2014 00:00:00</t>
  </si>
  <si>
    <t>28153479</t>
  </si>
  <si>
    <t>АО "Ямалкоммунэнерго" филиал в Тазовском районе</t>
  </si>
  <si>
    <t>891000354</t>
  </si>
  <si>
    <t>07-06-2013 00:00:00</t>
  </si>
  <si>
    <t>28139533</t>
  </si>
  <si>
    <t>АО "Ямалкоммунэнерго" филиал в Шурышкарском районе</t>
  </si>
  <si>
    <t>890701001</t>
  </si>
  <si>
    <t>28951636</t>
  </si>
  <si>
    <t>АО "Ямалкоммунэнерго" филиал в Ямальском районе</t>
  </si>
  <si>
    <t>890943001</t>
  </si>
  <si>
    <t>28137162</t>
  </si>
  <si>
    <t>АО "Ямалкоммунэнерго" филиал в г.Губкинский</t>
  </si>
  <si>
    <t>891143003</t>
  </si>
  <si>
    <t>28149145</t>
  </si>
  <si>
    <t>АО "Ямалкоммунэнерго" филиал в г.Муравленко "Тепло"</t>
  </si>
  <si>
    <t>890543001</t>
  </si>
  <si>
    <t>22-05-2013 00:00:00</t>
  </si>
  <si>
    <t>26405784</t>
  </si>
  <si>
    <t>Вынгапуровское ЛПУ МГ ООО "Газпром трансгаз Сургут"</t>
  </si>
  <si>
    <t>8617002073</t>
  </si>
  <si>
    <t>890503001</t>
  </si>
  <si>
    <t>26519903</t>
  </si>
  <si>
    <t>Государственное бюджетное учреждение ЯНАО "Ямалтур"</t>
  </si>
  <si>
    <t>8901019080</t>
  </si>
  <si>
    <t>26405813</t>
  </si>
  <si>
    <t>Губкинское ЛПУ МГ ООО "Газпром трансгаз Сургут"</t>
  </si>
  <si>
    <t>891103002</t>
  </si>
  <si>
    <t>ДЕПАРТАМЕНТ ТАРИФНОЙ ПОЛИТИКИ, ЭНЕРГЕТИКИ И ЖИЛИЩНО-КОММУНАЛЬНОГО КОМПЛЕКСА ЯМАЛО-НЕНЕЦКОГО</t>
  </si>
  <si>
    <t>8901017727</t>
  </si>
  <si>
    <t>26361337</t>
  </si>
  <si>
    <t>ЗАО "Спецтеплосервис"</t>
  </si>
  <si>
    <t>8908001677</t>
  </si>
  <si>
    <t>13-07-2004 00:00:00</t>
  </si>
  <si>
    <t>26405791</t>
  </si>
  <si>
    <t>Лонг-Юганское ЛПУ МГ ООО "Газпром трансгаз Югорск"</t>
  </si>
  <si>
    <t>8622000931</t>
  </si>
  <si>
    <t>890302002</t>
  </si>
  <si>
    <t>26524362</t>
  </si>
  <si>
    <t>МПП ЖКХ МО г. Лабытнанги "Ямал"</t>
  </si>
  <si>
    <t>8902009197</t>
  </si>
  <si>
    <t>890201001</t>
  </si>
  <si>
    <t>26361334</t>
  </si>
  <si>
    <t>МУП "Муравленковские коммунальные системы"</t>
  </si>
  <si>
    <t>8906006976</t>
  </si>
  <si>
    <t>890601001</t>
  </si>
  <si>
    <t>28-12-2004 00:00:00</t>
  </si>
  <si>
    <t>26537588</t>
  </si>
  <si>
    <t>Надымский филиал ООО "Газпром энерго"</t>
  </si>
  <si>
    <t>7736186950</t>
  </si>
  <si>
    <t>890302001</t>
  </si>
  <si>
    <t>25-12-2005 00:00:00</t>
  </si>
  <si>
    <t>26539372</t>
  </si>
  <si>
    <t>Ново-Уренгойское ЛПУ МГ ООО "Газпром трансгаз Сургут"</t>
  </si>
  <si>
    <t>890403001</t>
  </si>
  <si>
    <t>26360366</t>
  </si>
  <si>
    <t>Ноябрьский филиал АО "Аэропорт Сургут"</t>
  </si>
  <si>
    <t>26360339</t>
  </si>
  <si>
    <t>Ноябрьское управление магистральных нефтепроводов АО "Транснефть-Сибирь"</t>
  </si>
  <si>
    <t>7201000726</t>
  </si>
  <si>
    <t>890502001</t>
  </si>
  <si>
    <t>26405797</t>
  </si>
  <si>
    <t>Ныдинское ЛПУ МГ ООО "Газпром трансгаз Югорск"</t>
  </si>
  <si>
    <t>26361312</t>
  </si>
  <si>
    <t>ОАО "Тепло-Энергетик"</t>
  </si>
  <si>
    <t>8902010724</t>
  </si>
  <si>
    <t>31189728</t>
  </si>
  <si>
    <t>ОАО "Ямал СПГ"</t>
  </si>
  <si>
    <t>7709602713</t>
  </si>
  <si>
    <t>891450001</t>
  </si>
  <si>
    <t>29-08-2018 00:00:00</t>
  </si>
  <si>
    <t>26361313</t>
  </si>
  <si>
    <t>ООО "Авто-Миг плюс"</t>
  </si>
  <si>
    <t>8902012591</t>
  </si>
  <si>
    <t>31514021</t>
  </si>
  <si>
    <t>ООО "Арктик СПГ 2"</t>
  </si>
  <si>
    <t>8904075357</t>
  </si>
  <si>
    <t>26405755</t>
  </si>
  <si>
    <t>ООО "Газпром добыча Уренгой"</t>
  </si>
  <si>
    <t>8904034784</t>
  </si>
  <si>
    <t>997250001</t>
  </si>
  <si>
    <t>26405779</t>
  </si>
  <si>
    <t>ООО "Газпром добыча Ямбург" Филиал "Ямбурское районное энергетическое управление"</t>
  </si>
  <si>
    <t>8904034777</t>
  </si>
  <si>
    <t>31341118</t>
  </si>
  <si>
    <t>ООО "Газпром переработка" в зоне деятельности ЗПКТ</t>
  </si>
  <si>
    <t>1102054991</t>
  </si>
  <si>
    <t>891103001</t>
  </si>
  <si>
    <t>26576140</t>
  </si>
  <si>
    <t>ООО "Газпром трансгаз Сургут"</t>
  </si>
  <si>
    <t>30-01-2002 00:00:00</t>
  </si>
  <si>
    <t>26405781</t>
  </si>
  <si>
    <t>ООО "Газпромнефть Энергосистемы"</t>
  </si>
  <si>
    <t>8905032490</t>
  </si>
  <si>
    <t>01-12-2003 00:00:00</t>
  </si>
  <si>
    <t>26828669</t>
  </si>
  <si>
    <t>ООО "Газпромтранс" (Ямальский филиал)</t>
  </si>
  <si>
    <t>7728262893</t>
  </si>
  <si>
    <t>890243001</t>
  </si>
  <si>
    <t>28046959</t>
  </si>
  <si>
    <t>ООО "ЛУКОЙЛ-ЭНЕРГОСЕТИ"</t>
  </si>
  <si>
    <t>5260230051</t>
  </si>
  <si>
    <t>770901001</t>
  </si>
  <si>
    <t>17-01-2013 00:00:00</t>
  </si>
  <si>
    <t>27664315</t>
  </si>
  <si>
    <t>ООО "НадымЖилКомсервис"</t>
  </si>
  <si>
    <t>8903031935</t>
  </si>
  <si>
    <t>28953431</t>
  </si>
  <si>
    <t>ООО "Новатэк-Юрхаровнефтегаз"</t>
  </si>
  <si>
    <t>8903021599</t>
  </si>
  <si>
    <t>31077508</t>
  </si>
  <si>
    <t>ООО "Новоуренгойский газохимический комплекс"</t>
  </si>
  <si>
    <t>8904006547</t>
  </si>
  <si>
    <t>21-08-2002 00:00:00</t>
  </si>
  <si>
    <t>04-04-2006 00:00:00</t>
  </si>
  <si>
    <t>26361332</t>
  </si>
  <si>
    <t>ООО "Ноябрьсктеплонефть"</t>
  </si>
  <si>
    <t>8905032483</t>
  </si>
  <si>
    <t>31422928</t>
  </si>
  <si>
    <t>ООО "Полярный круг"</t>
  </si>
  <si>
    <t>8901039142</t>
  </si>
  <si>
    <t>05-06-2020 00:00:00</t>
  </si>
  <si>
    <t>26754438</t>
  </si>
  <si>
    <t>ООО "РН-Пурнефтегаз"</t>
  </si>
  <si>
    <t>8913006455</t>
  </si>
  <si>
    <t>26519891</t>
  </si>
  <si>
    <t>ООО "РемСтройСервис"</t>
  </si>
  <si>
    <t>8903028234</t>
  </si>
  <si>
    <t>26590772</t>
  </si>
  <si>
    <t>ООО "Самбургские электрические сети"</t>
  </si>
  <si>
    <t>8911024755</t>
  </si>
  <si>
    <t>891101001</t>
  </si>
  <si>
    <t>26637526</t>
  </si>
  <si>
    <t>ООО "Северная ПЛЭС"</t>
  </si>
  <si>
    <t>7716605105</t>
  </si>
  <si>
    <t>26318625</t>
  </si>
  <si>
    <t>ООО "Фотон"</t>
  </si>
  <si>
    <t>8910002438</t>
  </si>
  <si>
    <t>31361525</t>
  </si>
  <si>
    <t>ООО "Харампурнефтегаз"</t>
  </si>
  <si>
    <t>7536125117</t>
  </si>
  <si>
    <t>30870949</t>
  </si>
  <si>
    <t>ООО "Энергосистемы"</t>
  </si>
  <si>
    <t>6659144929</t>
  </si>
  <si>
    <t>665801001</t>
  </si>
  <si>
    <t>20-01-2017 00:00:00</t>
  </si>
  <si>
    <t>27989602</t>
  </si>
  <si>
    <t>ООО "Эффективная теплоэнергетика"</t>
  </si>
  <si>
    <t>8901021272</t>
  </si>
  <si>
    <t>745101001</t>
  </si>
  <si>
    <t>22-04-2008 00:00:00</t>
  </si>
  <si>
    <t>26361349</t>
  </si>
  <si>
    <t>ООО "Ямал-Энерго"</t>
  </si>
  <si>
    <t>8912002546</t>
  </si>
  <si>
    <t>891201001</t>
  </si>
  <si>
    <t>26576132</t>
  </si>
  <si>
    <t>ООО «Газпром переработка» в зоне деятельности филиала Завод по стабилизации конденсата имени В.С. Черномырдина</t>
  </si>
  <si>
    <t>26522800</t>
  </si>
  <si>
    <t>ООО «Газпром энерго» в зоне деятельности Сургутского филиала Общества с ограниченной ответственностью «Газпром энерго»</t>
  </si>
  <si>
    <t>860202001</t>
  </si>
  <si>
    <t>03-10-2005 00:00:00</t>
  </si>
  <si>
    <t>26405814</t>
  </si>
  <si>
    <t>ООО ЭК "Тепло-Водо-Электро-Сервис"</t>
  </si>
  <si>
    <t>8912002592</t>
  </si>
  <si>
    <t>26361318</t>
  </si>
  <si>
    <t>ПАО "Надымское предприятие железнодорожного транспорта"</t>
  </si>
  <si>
    <t>8903006946</t>
  </si>
  <si>
    <t>26318654</t>
  </si>
  <si>
    <t>ПАО "Передвижная энергетика" филиал "ПЭС Лабытнанги"</t>
  </si>
  <si>
    <t>7719019846</t>
  </si>
  <si>
    <t>890202001</t>
  </si>
  <si>
    <t>28435937</t>
  </si>
  <si>
    <t>ПАО "Передвижная энергетика" филиал "ПЭС Уренгой"</t>
  </si>
  <si>
    <t>890402001</t>
  </si>
  <si>
    <t>27948255</t>
  </si>
  <si>
    <t>Правохеттинское ЛПУ МГ ООО "Газпром трансгаз Югорск"</t>
  </si>
  <si>
    <t>890302009</t>
  </si>
  <si>
    <t>26405792</t>
  </si>
  <si>
    <t>Приозерное ЛПУ МГ ООО "Газпром трансгаз Югорск"</t>
  </si>
  <si>
    <t>890302005</t>
  </si>
  <si>
    <t>26405812</t>
  </si>
  <si>
    <t>Пурпейское ЛПУ МГ ООО "Газпром трансгаз Сургут"</t>
  </si>
  <si>
    <t>26360995</t>
  </si>
  <si>
    <t>Свердловская дирекция по тепловодоснабжению-структурное подразделение Центральной дирекции по тепловодоснабжению ОАО "РЖД"</t>
  </si>
  <si>
    <t>7708503727</t>
  </si>
  <si>
    <t>880231001</t>
  </si>
  <si>
    <t>26319119</t>
  </si>
  <si>
    <t>Управление "Ямалэнергогаз" ООО "Газпром добыча Надым"</t>
  </si>
  <si>
    <t>8903019871</t>
  </si>
  <si>
    <t>890303004</t>
  </si>
  <si>
    <t>26405743</t>
  </si>
  <si>
    <t>Уренгойский филиал ООО "Газпром энерго"</t>
  </si>
  <si>
    <t>26522992</t>
  </si>
  <si>
    <t>Филиал "Уренгойская ГРЭС" АО "Интер РАО - Электрогенерация"</t>
  </si>
  <si>
    <t>7704784450</t>
  </si>
  <si>
    <t>890443001</t>
  </si>
  <si>
    <t>15-06-2011 00:00:00</t>
  </si>
  <si>
    <t>26405837</t>
  </si>
  <si>
    <t>Филиал АО энергетики и электрификации "Тюменьэнерго" Ноябрьские электрические сети</t>
  </si>
  <si>
    <t>31007418</t>
  </si>
  <si>
    <t>Филиал ООО "УТТиСТ-Бурсервис"</t>
  </si>
  <si>
    <t>7727767316</t>
  </si>
  <si>
    <t>772801001</t>
  </si>
  <si>
    <t>26405794</t>
  </si>
  <si>
    <t>Ягельное ЛПУ МГ ООО "Газпром трансгаз Югорск"</t>
  </si>
  <si>
    <t>890302008</t>
  </si>
  <si>
    <t>27806229</t>
  </si>
  <si>
    <t>филиал - Надымское нефтегазодобывающее управление ООО "Газпром Добыча Надым"</t>
  </si>
  <si>
    <t>890303005</t>
  </si>
  <si>
    <t>31291600</t>
  </si>
  <si>
    <t>АО "Уренгойжилсервис"</t>
  </si>
  <si>
    <t>8904046691</t>
  </si>
  <si>
    <t>31641611</t>
  </si>
  <si>
    <t>ИП Суворова Анастасия Романовна</t>
  </si>
  <si>
    <t>890206927736</t>
  </si>
  <si>
    <t>26539285</t>
  </si>
  <si>
    <t>МУП "Жилфонд"</t>
  </si>
  <si>
    <t>8907001547</t>
  </si>
  <si>
    <t>23-03-2008 00:00:00</t>
  </si>
  <si>
    <t>26539164</t>
  </si>
  <si>
    <t>МУП "Уренгойское городское хозяйство" г. Новый Уренгой</t>
  </si>
  <si>
    <t>8904047014</t>
  </si>
  <si>
    <t>31307305</t>
  </si>
  <si>
    <t>Муниципальное унитарное предприятие муниципального образования Горковское "Партнёр"</t>
  </si>
  <si>
    <t>8907002501</t>
  </si>
  <si>
    <t>31161921</t>
  </si>
  <si>
    <t>ООО "Аметист"</t>
  </si>
  <si>
    <t>8907002572</t>
  </si>
  <si>
    <t>01-12-2017 00:00:00</t>
  </si>
  <si>
    <t>31750614</t>
  </si>
  <si>
    <t>ООО "НПТ транспорт"</t>
  </si>
  <si>
    <t>9728101949</t>
  </si>
  <si>
    <t>31161912</t>
  </si>
  <si>
    <t>ООО "Надымское производственное предприятие"</t>
  </si>
  <si>
    <t>8903020210</t>
  </si>
  <si>
    <t>31355423</t>
  </si>
  <si>
    <t>ООО "Уренгойаэроинвест"</t>
  </si>
  <si>
    <t>6685138880</t>
  </si>
  <si>
    <t>26538986</t>
  </si>
  <si>
    <t>OOO "Комплекс"</t>
  </si>
  <si>
    <t>8903019631</t>
  </si>
  <si>
    <t>26539168</t>
  </si>
  <si>
    <t>АО "Экотехнология"</t>
  </si>
  <si>
    <t>8904051268</t>
  </si>
  <si>
    <t>25-12-2017 00:00:00</t>
  </si>
  <si>
    <t>31007408</t>
  </si>
  <si>
    <t>АО "Ямалэкосервис"</t>
  </si>
  <si>
    <t>8901035437</t>
  </si>
  <si>
    <t>26539349</t>
  </si>
  <si>
    <t>МУП "Дорожно-Строительное Управление"</t>
  </si>
  <si>
    <t>8911018695</t>
  </si>
  <si>
    <t>03-12-2002 00:00:00</t>
  </si>
  <si>
    <t>28047020</t>
  </si>
  <si>
    <t>МУП "Ноябрьскспецавтотранс"</t>
  </si>
  <si>
    <t>8905028487</t>
  </si>
  <si>
    <t>31469342</t>
  </si>
  <si>
    <t>Муниципальное бюджетное учреждение "Автодорсервис" г. Губкинский</t>
  </si>
  <si>
    <t>8911031777</t>
  </si>
  <si>
    <t>21-01-2021 00:00:00</t>
  </si>
  <si>
    <t>31749303</t>
  </si>
  <si>
    <t>ООО "АрктикЭкоТранс"</t>
  </si>
  <si>
    <t>8904093733</t>
  </si>
  <si>
    <t>31746263</t>
  </si>
  <si>
    <t>ООО "РАСТАМ-Экология"</t>
  </si>
  <si>
    <t>7202154045</t>
  </si>
  <si>
    <t>720301001</t>
  </si>
  <si>
    <t>15-04-2024 00:00:00</t>
  </si>
  <si>
    <t>30803228</t>
  </si>
  <si>
    <t>ООО "Ямал Экология"</t>
  </si>
  <si>
    <t>8602196404</t>
  </si>
  <si>
    <t>07-07-2016 00:00:00</t>
  </si>
  <si>
    <t>31390738</t>
  </si>
  <si>
    <t>ООО НПП "СГТ"</t>
  </si>
  <si>
    <t>7203226736</t>
  </si>
  <si>
    <t>26537577</t>
  </si>
  <si>
    <t>филиал - Управление по эксплуатации вахтовых посёлков ООО "Газпром добыча Надым"</t>
  </si>
  <si>
    <t>20-02-2016 00:00:00</t>
  </si>
  <si>
    <t>NSRF</t>
  </si>
  <si>
    <t>MR_NAME</t>
  </si>
  <si>
    <t>OKTMO_MR_NAME</t>
  </si>
  <si>
    <t>MO_NAME</t>
  </si>
  <si>
    <t>OKTMO_NAME</t>
  </si>
  <si>
    <t>TYPE</t>
  </si>
  <si>
    <t>MR_ID</t>
  </si>
  <si>
    <t>Муниципальный округ Красноселькупский район</t>
  </si>
  <si>
    <t>71933000</t>
  </si>
  <si>
    <t>муниципальный округ</t>
  </si>
  <si>
    <t>Муниципальный округ Надымский район</t>
  </si>
  <si>
    <t>71936000</t>
  </si>
  <si>
    <t>Муниципальный округ Приуральский район</t>
  </si>
  <si>
    <t>71938000</t>
  </si>
  <si>
    <t>Муниципальный округ Пуровский район</t>
  </si>
  <si>
    <t>71940000</t>
  </si>
  <si>
    <t>Муниципальный округ Тазовский район</t>
  </si>
  <si>
    <t>71943000</t>
  </si>
  <si>
    <t>Муниципальный округ Шурышкарский район</t>
  </si>
  <si>
    <t>71946000</t>
  </si>
  <si>
    <t>Муниципальный округ Ямальский район</t>
  </si>
  <si>
    <t>71948000</t>
  </si>
  <si>
    <t>город Губкинский</t>
  </si>
  <si>
    <t>71952000</t>
  </si>
  <si>
    <t>городской округ</t>
  </si>
  <si>
    <t>город Лабытнанги</t>
  </si>
  <si>
    <t>71953000</t>
  </si>
  <si>
    <t>город Муравленко</t>
  </si>
  <si>
    <t>71955000</t>
  </si>
  <si>
    <t>город Новый Уренгой</t>
  </si>
  <si>
    <t>71956000</t>
  </si>
  <si>
    <t>город Салехард</t>
  </si>
  <si>
    <t>71951000</t>
  </si>
  <si>
    <t>NUMBER_POINT</t>
  </si>
  <si>
    <t>INVP_NAME</t>
  </si>
  <si>
    <t>INVP_ID</t>
  </si>
  <si>
    <t>L_START_DATE</t>
  </si>
  <si>
    <t>L_END_DATE</t>
  </si>
  <si>
    <t>L_DECISION_NAME</t>
  </si>
  <si>
    <t>L_DECISION_TYPE</t>
  </si>
  <si>
    <t>L_DECISION_NMBR</t>
  </si>
  <si>
    <t>L_DECISION_DATE</t>
  </si>
  <si>
    <t>Инвестиционная программа № 11-ип от 27.10.2023 АО "Ямалкоммунэнерго" филиал в Шурышкарском районе в сфере теплоснабжения по повышению надежности и энергетической эффективности системы теплоснабжения, на территории муниципального округа Шурышкарский район на 2024-2026 годы</t>
  </si>
  <si>
    <t>01.01.2024</t>
  </si>
  <si>
    <t>31.12.2026</t>
  </si>
  <si>
    <t>Инвестиционная программа № 14-ИП от 19.11.2021 АО "Салехардэнерго" в сфере теплоснабжения по развитию систем теплоснабжения, на территории городского округа Салехард на 2022-2025 годы</t>
  </si>
  <si>
    <t>01.01.2022</t>
  </si>
  <si>
    <t>31.12.2025</t>
  </si>
  <si>
    <t>Инвестиционная программа № 14-ип от 08.11.2023 АО "Уренгойтеплогенерация-1" в сфере теплоснабжения в отношении систем коммунальной инфраструктуры, на территории городского округа Новый Уренгой на 2023-2032 годы</t>
  </si>
  <si>
    <t>08.11.2023</t>
  </si>
  <si>
    <t>31.12.2032</t>
  </si>
  <si>
    <t>Инвестиционная программа № 144-т от 31.10.2014 АО "Харп-Энерго-Газ" в сфере теплоснабжения по модернизации систем теплоснабжения, на территории городского округа Лабытнанги на 2022-2026 годы</t>
  </si>
  <si>
    <t>Инвестиционная программа № 2-ип от 05.04.2022 ООО ЭК "Тепло-Водо-Электро-Сервис" в сфере теплоснабжения по развитию систем теплоснабжения, на территории муниципального района Красноселькупский на 2022-2028 годы</t>
  </si>
  <si>
    <t>05.04.2022</t>
  </si>
  <si>
    <t>31.12.2028</t>
  </si>
  <si>
    <t>Инвестиционная программа № 2-ип от 16.08.2023 АО "Ямалкоммунэнерго" филиал в Надымском районе в сфере теплоснабжения по реконструкции системы инженерной инфраструктуры, на территории муниципального округа Надымский район на 2024-2026 годы</t>
  </si>
  <si>
    <t>Инвестиционная программа № 21-ип от 28.12.2021 АО "Ямалкоммунэнерго" филиал в г.Муравленко "Тепло" в сфере теплоснабжения по модернизации системы теплоснабжения, на территории городского округа Муравленко на 2021-2025 годы</t>
  </si>
  <si>
    <t>28.12.2021</t>
  </si>
  <si>
    <t>Инвестиционная программа № 21-ип от 28.12.2021 АО "Ямалкоммунэнерго" филиал в г.Муравленко "Тепло" в сфере теплоснабжения по модернизации системы теплоснабжения, на территории городского округа Муравленко на 2022-2025 годы</t>
  </si>
  <si>
    <t>Инвестиционная программа № 28-ИП от 30.12.2022 ООО "Ямал-Энерго" в сфере теплоснабжения по развитию систем теплоснабжения, на территории муниципального округа Красноселькупский район на 2022-2023 годы</t>
  </si>
  <si>
    <t>30.12.2022</t>
  </si>
  <si>
    <t>31.12.2023</t>
  </si>
  <si>
    <t>Инвестиционная программа № 28-ип от 30.12.2022 ООО "Ямал-Энерго" в сфере теплоснабжения по развитию систем теплоснабжения, на территории муниципального округа Красноселькупский район на 2022-2023 годы</t>
  </si>
  <si>
    <t>Инвестиционная программа № 5-ип от 06.06.2024 АО "Вынгапуровский тепловодоканал" в сфере теплоснабжения по модернизации и реконструкции систем теплоснабжения, на территории городского округа Ноябрьск на 2024-2027 годы</t>
  </si>
  <si>
    <t>06.06.2024</t>
  </si>
  <si>
    <t>31.12.2027</t>
  </si>
  <si>
    <t>Инвестиционная программа № 5-ип от 06.06.2024 в сфере теплоснабжения по модернизации и реконструкции систем теплоснабжения, на территории городского округа Ноябрьск на 2024-2027 годы</t>
  </si>
  <si>
    <t>Инвестиционная программа № 5-ип от 07.06.2022 МПП ЖКХ МО г. Лабытнанги "Ямал" в сфере теплоснабжения по модернизации систем коммунальной инфраструктуры, на территории городского округа Лабытнанги на 2023-2025 годы</t>
  </si>
  <si>
    <t>01.01.2023</t>
  </si>
  <si>
    <t>Инвестиционная программа № 7-ип от 29.10.2021 АО "Ямалкоммунэнерго" филиал в Надымском районе в сфере теплоснабжения по модернизации систем теплоснабжения, на территории муниципального округа Надымский район на 2022-2024 годы</t>
  </si>
  <si>
    <t>31.12.2024</t>
  </si>
  <si>
    <t>Инвестиционная программа № 7-ип от 29.10.2021 АО "Ямалкоммунэнерго" филиал в Надымском районе в сфере теплоснабжения по модернизации систем теплоснабжения, на территории муниципального округа Надымский район на 2022-2025 годы</t>
  </si>
  <si>
    <t>Инвестиционная программа № 7-ип от 29.10.2021 АО "Ямалкоммунэнерго" филиал в Надымском районе в сфере теплоснабжения по модернизации систем теплоснабжения, на территории муниципального округа Надымский район на 2023-2025 годы</t>
  </si>
  <si>
    <t>Инвестиционная программа № 76-т от 28.10.2020 АО "Ямалкоммунэнерго" филиал в Шурышкарском районе в сфере теплоснабжения в отношении системы инженерной инфраструктуры на 2021-2025 годы</t>
  </si>
  <si>
    <t>01.01.2021</t>
  </si>
  <si>
    <t>Инвестиционная программа № 76-т от 28.10.2020 АО "Ямалкоммунэнерго" филиал в Шурышкарском районе в сфере теплоснабжения по строительству систем инженерной инфраструктуры, на территории с Горки, Горковское, Шурышкарский муниципальный район на 2021-2022 годы</t>
  </si>
  <si>
    <t>31.12.2022</t>
  </si>
  <si>
    <t>Инвестиционная программа № 76-т от 28.10.2020 АО "Ямалкоммунэнерго" филиал в Шурышкарском районе в сфере теплоснабжения по строительству систем инженерной инфраструктуры, на территории сельского поселения Горковское, Шурышкарский муниципальный район на 2021-2024 годы</t>
  </si>
  <si>
    <t>Инвестиционная программа № 76-т от 28.12.2020 АО "Ямалкоммунэнерго" филиал в Шурышкарском районе в сфере теплоснабжения в отношении системы коммунальной инфраструктуры, на территории муниципального округа Шурышкарский район на 2022-2025 годы</t>
  </si>
  <si>
    <t>Инвестиционная программа № 84-т от 30.10.2020 АО "Ямалкоммунэнерго" филиал в Шурышкарском районе в сфере теплоснабжения по модернизации и строительству систем коммунальной инфраструктуры, на территории сельского поселения Мужевское, Шурышкарский муниципальный район на 2021-2022 годы</t>
  </si>
  <si>
    <t>Инвестиционная программа № 84-т от 30.10.2020 АО "Ямалкоммунэнерго" филиал в Шурышкарском районе в сфере теплоснабжения по строительству систем коммунальной инфраструктуры, на территории с Мужи, Мужевское, Шурышкарский муниципальный район на 2021 год</t>
  </si>
  <si>
    <t>31.12.2021</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</si>
  <si>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</si>
  <si>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</si>
  <si>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</si>
  <si>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</si>
  <si>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</si>
  <si>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</si>
  <si>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</si>
  <si>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</si>
  <si>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</si>
  <si>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</si>
  <si>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</si>
  <si>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</si>
  <si>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</si>
  <si>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</si>
  <si>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</si>
  <si>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</si>
  <si>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</si>
  <si>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</si>
  <si>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</si>
  <si>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</si>
  <si>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</si>
  <si>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</si>
  <si>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</si>
  <si>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</si>
  <si>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</si>
  <si>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</si>
  <si>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</si>
  <si>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</si>
  <si>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</si>
  <si>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</si>
  <si>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</si>
  <si>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</si>
  <si>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</si>
  <si>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</si>
  <si>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</si>
  <si>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</si>
  <si>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</si>
  <si>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</si>
  <si>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</si>
  <si>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</si>
  <si>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</si>
  <si>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</si>
  <si>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</si>
  <si>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</si>
  <si>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</si>
  <si>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</si>
  <si>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</si>
  <si>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</si>
  <si>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</si>
  <si>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</si>
  <si>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</si>
  <si>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</si>
  <si>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</si>
  <si>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</si>
  <si>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</si>
  <si>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</si>
  <si>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</si>
  <si>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</si>
  <si>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</si>
  <si>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</si>
  <si>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</si>
  <si>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</si>
  <si>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</si>
  <si>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</si>
  <si>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</si>
  <si>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</si>
  <si>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</si>
  <si>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</si>
  <si>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</si>
  <si>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</si>
  <si>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</si>
  <si>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</si>
  <si>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</si>
  <si>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</si>
  <si>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</si>
  <si>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</si>
  <si>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</si>
  <si>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</si>
  <si>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</si>
  <si>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</si>
  <si>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</si>
  <si>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</si>
  <si>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</si>
  <si>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</si>
  <si>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</si>
  <si>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</si>
  <si>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</si>
  <si>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</si>
  <si>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</si>
  <si>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</si>
  <si>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</si>
  <si>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</si>
  <si>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</si>
  <si>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</si>
  <si>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</si>
  <si>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</si>
  <si>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</si>
  <si>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</si>
  <si>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</si>
  <si>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</si>
  <si>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</si>
  <si>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</si>
  <si>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</si>
  <si>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</si>
  <si>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</si>
  <si>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</si>
  <si>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</si>
  <si>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</si>
  <si>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</si>
  <si>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</si>
  <si>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</si>
  <si>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</si>
  <si>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</si>
  <si>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</si>
  <si>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</si>
  <si>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</si>
  <si>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</si>
  <si>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</si>
  <si>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</si>
  <si>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</si>
  <si>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</si>
  <si>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</si>
  <si>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</si>
  <si>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</si>
  <si>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</si>
  <si>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</si>
  <si>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</si>
  <si>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</si>
  <si>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</si>
  <si>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</si>
  <si>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</si>
  <si>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</si>
  <si>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</si>
  <si>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</si>
  <si>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</si>
  <si>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</si>
  <si>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</si>
  <si>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</si>
  <si>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</si>
  <si>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</si>
  <si>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</si>
  <si>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</si>
  <si>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</si>
  <si>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</si>
  <si>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</si>
  <si>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</si>
  <si>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</si>
  <si>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</si>
  <si>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</si>
  <si>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</si>
  <si>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</si>
  <si>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</si>
  <si>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</si>
  <si>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</si>
  <si>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</si>
  <si>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</si>
  <si>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</si>
  <si>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</si>
  <si>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</si>
  <si>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</si>
  <si>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</si>
  <si>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</si>
  <si>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</si>
  <si>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</si>
  <si>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</si>
  <si>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</si>
  <si>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</si>
  <si>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</si>
  <si>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</si>
  <si>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</si>
  <si>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</si>
  <si>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</si>
  <si>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</si>
  <si>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</si>
  <si>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</si>
  <si>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</si>
  <si>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</si>
  <si>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</si>
  <si>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</si>
  <si>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</si>
  <si>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</si>
  <si>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</si>
  <si>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</si>
  <si>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</si>
  <si>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</si>
  <si>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</si>
  <si>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</si>
  <si>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</si>
  <si>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</si>
  <si>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</si>
  <si>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</si>
  <si>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</si>
  <si>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</si>
  <si>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</si>
  <si>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</si>
  <si>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</si>
  <si>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</si>
  <si>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</si>
  <si>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</si>
  <si>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18-3341</t>
  </si>
  <si>
    <t>https://portal.eias.ru/Portal/DownloadPage.aspx?type=12&amp;guid=9d37ddea-daf4-4e9b-84f1-a38d0d89907e</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</si>
</sst>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164" formatCode="000000"/>
    <numFmt numFmtId="165" formatCode="#,##0.000"/>
    <numFmt numFmtId="166" formatCode="#,##0.0000"/>
    <numFmt numFmtId="167" formatCode="dd\.mm\.yyyy"/>
    <numFmt numFmtId="168" formatCode="h:mm;@"/>
    <numFmt numFmtId="169" formatCode="_-* #,##0.00[$€-1]_-;\-* #,##0.00[$€-1]_-;_-* &quot;-&quot;??[$€-1]_-"/>
    <numFmt numFmtId="170" formatCode="#,##0.0"/>
    <numFmt numFmtId="171" formatCode="_-* #,##0_-;\-* #,##0_-;_-* &quot;-&quot;_-;_-@_-"/>
    <numFmt numFmtId="172" formatCode="_-* #,##0.00&quot;р.&quot;_-;\-* #,##0.00&quot;р.&quot;_-;_-* &quot;-&quot;??&quot;р.&quot;_-;_-@_-"/>
    <numFmt numFmtId="173" formatCode="_-* #,##0.00_-;\-* #,##0.00_-;_-* &quot;-&quot;??_-;_-@_-"/>
    <numFmt numFmtId="174" formatCode="0.0%"/>
    <numFmt numFmtId="175" formatCode="0.0%_);\(0.0%\)"/>
    <numFmt numFmtId="176" formatCode="#,##0_);[Red]\(#,##0\)"/>
    <numFmt numFmtId="177" formatCode="#.##0\.00"/>
    <numFmt numFmtId="178" formatCode="#\.00"/>
    <numFmt numFmtId="179" formatCode="#\."/>
    <numFmt numFmtId="180" formatCode="General_)"/>
    <numFmt numFmtId="181" formatCode="_-* #,##0&quot;đ.&quot;_-;\-* #,##0&quot;đ.&quot;_-;_-* &quot;-&quot;&quot;đ.&quot;_-;_-@_-"/>
    <numFmt numFmtId="182" formatCode="_-* #,##0.00&quot;đ.&quot;_-;\-* #,##0.00&quot;đ.&quot;_-;_-* &quot;-&quot;??&quot;đ.&quot;_-;_-@_-"/>
    <numFmt numFmtId="183" formatCode="&quot;$&quot;#,##0_);[Red]\(&quot;$&quot;#,##0\)"/>
    <numFmt numFmtId="184" formatCode="\$#,##0\ ;\(\$#,##0\)"/>
    <numFmt numFmtId="185" formatCode="0.0"/>
    <numFmt numFmtId="186" formatCode="#,##0_);[Blue]\(#,##0\)"/>
    <numFmt numFmtId="187" formatCode="_-* #,##0_đ_._-;\-* #,##0_đ_._-;_-* &quot;-&quot;_đ_._-;_-@_-"/>
    <numFmt numFmtId="188" formatCode="_-* #,##0.00_đ_._-;\-* #,##0.00_đ_._-;_-* &quot;-&quot;??_đ_._-;_-@_-"/>
    <numFmt numFmtId="189" formatCode="_-* #,##0\ _р_._-;\-* #,##0\ _р_._-;_-* &quot;-&quot;\ _р_._-;_-@_-"/>
    <numFmt numFmtId="190" formatCode="_-* #,##0.00\ _р_._-;\-* #,##0.00\ _р_._-;_-* &quot;-&quot;??\ _р_._-;_-@_-"/>
    <numFmt numFmtId="191" formatCode="_-* #,##0.00_р_._-;\-* #,##0.00_р_._-;_-* &quot;-&quot;??_р_._-;_-@_-"/>
    <numFmt numFmtId="192" formatCode="_-* #,##0.00\ _₽_-;\-* #,##0.00\ _₽_-;_-* \-??\ _₽_-;_-@_-"/>
    <numFmt numFmtId="193" formatCode="_-&quot;Ј&quot;* #,##0.00_-;\-&quot;Ј&quot;* #,##0.00_-;_-&quot;Ј&quot;* &quot;-&quot;??_-;_-@_-"/>
  </numFmts>
  <fonts count="188">
    <font>
      <sz val="9"/>
      <color rgb="FF000000"/>
      <name val="Tahoma"/>
    </font>
    <font>
      <sz val="11"/>
      <color theme="1"/>
      <name val="Calibri"/>
      <family val="2"/>
      <charset val="204"/>
      <scheme val="minor"/>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
      <sz val="8"/>
      <name val="Arial"/>
      <family val="2"/>
      <charset val="204"/>
    </font>
    <font>
      <sz val="8"/>
      <color indexed="12"/>
      <name val="Arial"/>
      <family val="2"/>
      <charset val="204"/>
    </font>
    <font>
      <sz val="10"/>
      <name val="Helv"/>
      <charset val="204"/>
    </font>
    <font>
      <sz val="1"/>
      <color indexed="8"/>
      <name val="Courier"/>
      <family val="1"/>
      <charset val="204"/>
    </font>
    <font>
      <sz val="1"/>
      <color indexed="8"/>
      <name val="Courier"/>
      <family val="3"/>
    </font>
    <font>
      <b/>
      <sz val="1"/>
      <color indexed="8"/>
      <name val="Courier"/>
      <family val="3"/>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0"/>
      <name val="Arial Cyr"/>
      <charset val="204"/>
    </font>
    <font>
      <sz val="11"/>
      <color indexed="20"/>
      <name val="Calibri"/>
      <family val="2"/>
      <charset val="204"/>
    </font>
    <font>
      <b/>
      <sz val="11"/>
      <color indexed="52"/>
      <name val="Calibri"/>
      <family val="2"/>
      <charset val="204"/>
    </font>
    <font>
      <b/>
      <sz val="11"/>
      <color indexed="9"/>
      <name val="Calibri"/>
      <family val="2"/>
      <charset val="204"/>
    </font>
    <font>
      <sz val="10"/>
      <name val="Arial"/>
      <family val="2"/>
      <charset val="204"/>
    </font>
    <font>
      <sz val="10"/>
      <color indexed="24"/>
      <name val="Arial"/>
      <family val="2"/>
      <charset val="204"/>
    </font>
    <font>
      <b/>
      <sz val="10"/>
      <color indexed="12"/>
      <name val="Arial Cyr"/>
      <family val="2"/>
      <charset val="204"/>
    </font>
    <font>
      <sz val="10"/>
      <name val="MS Sans Serif"/>
      <family val="2"/>
      <charset val="204"/>
    </font>
    <font>
      <sz val="8"/>
      <name val="Arial Cyr"/>
      <charset val="204"/>
    </font>
    <font>
      <u/>
      <sz val="8"/>
      <color indexed="12"/>
      <name val="Arial Cyr"/>
      <charset val="204"/>
    </font>
    <font>
      <sz val="14"/>
      <name val="Times New Roman"/>
      <family val="1"/>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1"/>
      <color indexed="17"/>
      <name val="Calibri"/>
      <family val="2"/>
      <charset val="204"/>
    </font>
    <font>
      <b/>
      <sz val="10"/>
      <color indexed="18"/>
      <name val="Arial Cyr"/>
      <charset val="204"/>
    </font>
    <font>
      <b/>
      <sz val="18"/>
      <color indexed="24"/>
      <name val="Arial"/>
      <family val="2"/>
      <charset val="204"/>
    </font>
    <font>
      <b/>
      <sz val="12"/>
      <color indexed="24"/>
      <name val="Arial"/>
      <family val="2"/>
      <charset val="204"/>
    </font>
    <font>
      <b/>
      <sz val="11"/>
      <color indexed="56"/>
      <name val="Calibri"/>
      <family val="2"/>
      <charset val="204"/>
    </font>
    <font>
      <b/>
      <sz val="8"/>
      <name val="Arial Cyr"/>
      <charset val="204"/>
    </font>
    <font>
      <sz val="10"/>
      <name val="Courier"/>
      <family val="3"/>
    </font>
    <font>
      <u/>
      <sz val="10"/>
      <color indexed="36"/>
      <name val="Courier"/>
      <family val="3"/>
    </font>
    <font>
      <sz val="11"/>
      <color indexed="62"/>
      <name val="Calibri"/>
      <family val="2"/>
      <charset val="204"/>
    </font>
    <font>
      <sz val="11"/>
      <color indexed="52"/>
      <name val="Calibri"/>
      <family val="2"/>
      <charset val="204"/>
    </font>
    <font>
      <sz val="11"/>
      <color indexed="60"/>
      <name val="Calibri"/>
      <family val="2"/>
      <charset val="204"/>
    </font>
    <font>
      <sz val="12"/>
      <name val="Arial"/>
      <family val="2"/>
      <charset val="204"/>
    </font>
    <font>
      <sz val="8"/>
      <name val="Helv"/>
      <charset val="204"/>
    </font>
    <font>
      <b/>
      <sz val="11"/>
      <color indexed="63"/>
      <name val="Calibri"/>
      <family val="2"/>
      <charset val="204"/>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b/>
      <sz val="8"/>
      <color indexed="9"/>
      <name val="Arial Cyr"/>
      <charset val="204"/>
    </font>
    <font>
      <b/>
      <sz val="18"/>
      <color indexed="56"/>
      <name val="Cambria"/>
      <family val="2"/>
      <charset val="204"/>
    </font>
    <font>
      <sz val="11"/>
      <color indexed="10"/>
      <name val="Calibri"/>
      <family val="2"/>
      <charset val="204"/>
    </font>
    <font>
      <u/>
      <sz val="7.5"/>
      <color indexed="12"/>
      <name val="Arial"/>
      <family val="2"/>
      <charset val="204"/>
    </font>
    <font>
      <u/>
      <sz val="10"/>
      <color indexed="12"/>
      <name val="Arial Cyr"/>
      <charset val="204"/>
    </font>
    <font>
      <b/>
      <sz val="14"/>
      <name val="Franklin Gothic Medium"/>
      <family val="2"/>
      <charset val="204"/>
    </font>
    <font>
      <b/>
      <sz val="15"/>
      <color indexed="56"/>
      <name val="Calibri"/>
      <family val="2"/>
      <charset val="204"/>
    </font>
    <font>
      <b/>
      <sz val="13"/>
      <color indexed="56"/>
      <name val="Calibri"/>
      <family val="2"/>
      <charset val="204"/>
    </font>
    <font>
      <b/>
      <sz val="18"/>
      <name val="Arial"/>
      <family val="2"/>
      <charset val="204"/>
    </font>
    <font>
      <b/>
      <sz val="12"/>
      <name val="Arial"/>
      <family val="2"/>
      <charset val="204"/>
    </font>
    <font>
      <b/>
      <sz val="14"/>
      <name val="Arial Cyr"/>
      <family val="2"/>
      <charset val="204"/>
    </font>
    <font>
      <b/>
      <sz val="11"/>
      <color indexed="8"/>
      <name val="Calibri"/>
      <family val="2"/>
      <charset val="204"/>
    </font>
    <font>
      <b/>
      <sz val="14"/>
      <name val="Arial"/>
      <family val="2"/>
      <charset val="204"/>
    </font>
    <font>
      <b/>
      <sz val="10"/>
      <name val="Arial Cyr"/>
      <charset val="204"/>
    </font>
    <font>
      <sz val="10"/>
      <name val="Times New Roman CYR"/>
      <charset val="204"/>
    </font>
    <font>
      <sz val="10"/>
      <name val="Tahoma"/>
      <family val="2"/>
      <charset val="204"/>
    </font>
    <font>
      <sz val="10"/>
      <name val="Verdana"/>
      <family val="2"/>
      <charset val="204"/>
    </font>
    <font>
      <sz val="11"/>
      <name val="Times New Roman Cyr"/>
      <family val="1"/>
      <charset val="204"/>
    </font>
    <font>
      <sz val="12"/>
      <color indexed="24"/>
      <name val="Arial"/>
      <family val="2"/>
      <charset val="204"/>
    </font>
    <font>
      <sz val="11"/>
      <color theme="1"/>
      <name val="Calibri"/>
      <family val="2"/>
      <scheme val="minor"/>
    </font>
    <font>
      <sz val="11"/>
      <color rgb="FF000000"/>
      <name val="Calibri"/>
      <family val="2"/>
    </font>
    <font>
      <b/>
      <sz val="14"/>
      <color rgb="FF000000"/>
      <name val="Times New Roman"/>
      <family val="1"/>
      <charset val="204"/>
    </font>
  </fonts>
  <fills count="75">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
      <patternFill patternType="solid">
        <fgColor indexed="22"/>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8"/>
        <bgColor indexed="64"/>
      </patternFill>
    </fill>
    <fill>
      <patternFill patternType="solid">
        <fgColor indexed="47"/>
        <bgColor indexed="64"/>
      </patternFill>
    </fill>
  </fills>
  <borders count="83">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style="medium">
        <color indexed="64"/>
      </left>
      <right style="thin">
        <color indexed="64"/>
      </right>
      <top style="medium">
        <color indexed="64"/>
      </top>
      <bottom/>
      <diagonal/>
    </border>
    <border>
      <left/>
      <right/>
      <top style="thin">
        <color indexed="62"/>
      </top>
      <bottom style="double">
        <color indexed="62"/>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s>
  <cellStyleXfs count="1469">
    <xf numFmtId="49" fontId="0" fillId="0" borderId="0" applyFill="0" applyBorder="0">
      <alignment vertical="top"/>
    </xf>
    <xf numFmtId="0" fontId="3" fillId="0" borderId="0" applyFill="0" applyBorder="0">
      <alignment vertical="top"/>
    </xf>
    <xf numFmtId="0" fontId="4" fillId="0" borderId="0" applyFill="0" applyBorder="0"/>
    <xf numFmtId="169" fontId="4" fillId="0" borderId="0" applyFill="0" applyBorder="0"/>
    <xf numFmtId="38" fontId="5" fillId="0" borderId="0" applyFill="0" applyBorder="0">
      <alignment vertical="top"/>
    </xf>
    <xf numFmtId="170" fontId="6" fillId="6" borderId="0" applyBorder="0">
      <protection locked="0"/>
    </xf>
    <xf numFmtId="0" fontId="7" fillId="0" borderId="0" applyFill="0" applyBorder="0">
      <alignment vertical="center"/>
    </xf>
    <xf numFmtId="165" fontId="6" fillId="6" borderId="0" applyBorder="0">
      <protection locked="0"/>
    </xf>
    <xf numFmtId="166" fontId="6" fillId="6" borderId="0" applyBorder="0">
      <protection locked="0"/>
    </xf>
    <xf numFmtId="0" fontId="8" fillId="0" borderId="0" applyFill="0" applyBorder="0">
      <alignment vertical="top"/>
    </xf>
    <xf numFmtId="0" fontId="9" fillId="0" borderId="0" applyFill="0" applyBorder="0"/>
    <xf numFmtId="49" fontId="6" fillId="0" borderId="0" applyFill="0" applyBorder="0">
      <alignment vertical="top"/>
    </xf>
    <xf numFmtId="0" fontId="11" fillId="0" borderId="0" applyFill="0" applyBorder="0"/>
    <xf numFmtId="49" fontId="111" fillId="0" borderId="0" applyFill="0" applyBorder="0">
      <alignment vertical="top"/>
    </xf>
    <xf numFmtId="0" fontId="13" fillId="0" borderId="0" applyFill="0" applyBorder="0">
      <alignment vertical="top"/>
    </xf>
    <xf numFmtId="0" fontId="1" fillId="0" borderId="0"/>
    <xf numFmtId="0" fontId="4" fillId="0" borderId="0"/>
    <xf numFmtId="174" fontId="117" fillId="0" borderId="0">
      <alignment vertical="top"/>
    </xf>
    <xf numFmtId="174" fontId="118" fillId="0" borderId="0">
      <alignment vertical="top"/>
    </xf>
    <xf numFmtId="175" fontId="118" fillId="31" borderId="0">
      <alignment vertical="top"/>
    </xf>
    <xf numFmtId="174" fontId="118" fillId="32" borderId="0">
      <alignment vertical="top"/>
    </xf>
    <xf numFmtId="176"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176"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0" fontId="119" fillId="0" borderId="0"/>
    <xf numFmtId="0" fontId="119" fillId="0" borderId="0"/>
    <xf numFmtId="0" fontId="119" fillId="0" borderId="0"/>
    <xf numFmtId="0" fontId="119" fillId="0" borderId="0"/>
    <xf numFmtId="0" fontId="119" fillId="0" borderId="0"/>
    <xf numFmtId="0" fontId="4" fillId="0" borderId="0"/>
    <xf numFmtId="176"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0" fontId="4" fillId="0" borderId="0"/>
    <xf numFmtId="0" fontId="119" fillId="0" borderId="0"/>
    <xf numFmtId="0" fontId="4" fillId="0" borderId="0"/>
    <xf numFmtId="0" fontId="4" fillId="0" borderId="0"/>
    <xf numFmtId="0" fontId="4" fillId="0" borderId="0"/>
    <xf numFmtId="0" fontId="119" fillId="0" borderId="0"/>
    <xf numFmtId="0" fontId="119" fillId="0" borderId="0"/>
    <xf numFmtId="0" fontId="119" fillId="0" borderId="0"/>
    <xf numFmtId="176"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0" fontId="119" fillId="0" borderId="0"/>
    <xf numFmtId="0" fontId="119" fillId="0" borderId="0"/>
    <xf numFmtId="0" fontId="119" fillId="0" borderId="0"/>
    <xf numFmtId="176"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176"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38" fontId="117" fillId="0" borderId="0">
      <alignment vertical="top"/>
    </xf>
    <xf numFmtId="0" fontId="119" fillId="0" borderId="0"/>
    <xf numFmtId="0" fontId="4" fillId="0" borderId="0"/>
    <xf numFmtId="0" fontId="4" fillId="0" borderId="0"/>
    <xf numFmtId="0" fontId="119" fillId="0" borderId="0"/>
    <xf numFmtId="0" fontId="119" fillId="0" borderId="0"/>
    <xf numFmtId="0" fontId="4" fillId="0" borderId="0"/>
    <xf numFmtId="0" fontId="4" fillId="0" borderId="0"/>
    <xf numFmtId="0" fontId="119" fillId="0" borderId="0"/>
    <xf numFmtId="177" fontId="120" fillId="0" borderId="0">
      <protection locked="0"/>
    </xf>
    <xf numFmtId="178" fontId="120" fillId="0" borderId="0">
      <protection locked="0"/>
    </xf>
    <xf numFmtId="172" fontId="121" fillId="0" borderId="0">
      <protection locked="0"/>
    </xf>
    <xf numFmtId="172" fontId="121" fillId="0" borderId="0">
      <protection locked="0"/>
    </xf>
    <xf numFmtId="172" fontId="121" fillId="0" borderId="0">
      <protection locked="0"/>
    </xf>
    <xf numFmtId="179" fontId="120" fillId="0" borderId="67">
      <protection locked="0"/>
    </xf>
    <xf numFmtId="0" fontId="122" fillId="0" borderId="0">
      <protection locked="0"/>
    </xf>
    <xf numFmtId="0" fontId="122" fillId="0" borderId="0">
      <protection locked="0"/>
    </xf>
    <xf numFmtId="0" fontId="121" fillId="0" borderId="67">
      <protection locked="0"/>
    </xf>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39"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4" fillId="43" borderId="0" applyNumberFormat="0" applyBorder="0" applyAlignment="0" applyProtection="0"/>
    <xf numFmtId="0" fontId="124" fillId="40" borderId="0" applyNumberFormat="0" applyBorder="0" applyAlignment="0" applyProtection="0"/>
    <xf numFmtId="0" fontId="124" fillId="41" borderId="0" applyNumberFormat="0" applyBorder="0" applyAlignment="0" applyProtection="0"/>
    <xf numFmtId="0" fontId="124" fillId="44" borderId="0" applyNumberFormat="0" applyBorder="0" applyAlignment="0" applyProtection="0"/>
    <xf numFmtId="0" fontId="124" fillId="45" borderId="0" applyNumberFormat="0" applyBorder="0" applyAlignment="0" applyProtection="0"/>
    <xf numFmtId="0" fontId="124" fillId="46"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7" borderId="0" applyNumberFormat="0" applyBorder="0" applyAlignment="0" applyProtection="0"/>
    <xf numFmtId="0" fontId="124" fillId="48" borderId="0" applyNumberFormat="0" applyBorder="0" applyAlignment="0" applyProtection="0"/>
    <xf numFmtId="0" fontId="124" fillId="49" borderId="0" applyNumberFormat="0" applyBorder="0" applyAlignment="0" applyProtection="0"/>
    <xf numFmtId="0" fontId="124" fillId="44" borderId="0" applyNumberFormat="0" applyBorder="0" applyAlignment="0" applyProtection="0"/>
    <xf numFmtId="0" fontId="124" fillId="45" borderId="0" applyNumberFormat="0" applyBorder="0" applyAlignment="0" applyProtection="0"/>
    <xf numFmtId="0" fontId="124" fillId="50" borderId="0" applyNumberFormat="0" applyBorder="0" applyAlignment="0" applyProtection="0"/>
    <xf numFmtId="0" fontId="125" fillId="0" borderId="0" applyNumberFormat="0" applyFill="0" applyBorder="0" applyAlignment="0" applyProtection="0">
      <alignment vertical="top"/>
      <protection locked="0"/>
    </xf>
    <xf numFmtId="180" fontId="126" fillId="0" borderId="68">
      <protection locked="0"/>
    </xf>
    <xf numFmtId="181" fontId="127" fillId="0" borderId="0" applyFont="0" applyFill="0" applyBorder="0" applyAlignment="0" applyProtection="0"/>
    <xf numFmtId="182" fontId="127" fillId="0" borderId="0" applyFont="0" applyFill="0" applyBorder="0" applyAlignment="0" applyProtection="0"/>
    <xf numFmtId="0" fontId="128" fillId="34" borderId="0" applyNumberFormat="0" applyBorder="0" applyAlignment="0" applyProtection="0"/>
    <xf numFmtId="0" fontId="129" fillId="51" borderId="69" applyNumberFormat="0" applyAlignment="0" applyProtection="0"/>
    <xf numFmtId="0" fontId="130" fillId="52" borderId="70" applyNumberFormat="0" applyAlignment="0" applyProtection="0"/>
    <xf numFmtId="3" fontId="132" fillId="0" borderId="0" applyFont="0" applyFill="0" applyBorder="0" applyAlignment="0" applyProtection="0"/>
    <xf numFmtId="180" fontId="133" fillId="53" borderId="68"/>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84" fontId="132" fillId="0" borderId="0" applyFont="0" applyFill="0" applyBorder="0" applyAlignment="0" applyProtection="0"/>
    <xf numFmtId="0" fontId="132" fillId="0" borderId="0" applyFont="0" applyFill="0" applyBorder="0" applyAlignment="0" applyProtection="0"/>
    <xf numFmtId="14" fontId="135" fillId="0" borderId="0">
      <alignment vertical="top"/>
    </xf>
    <xf numFmtId="176" fontId="136" fillId="0" borderId="0">
      <alignment vertical="top"/>
    </xf>
    <xf numFmtId="169" fontId="137" fillId="0" borderId="0" applyFont="0" applyFill="0" applyBorder="0" applyAlignment="0" applyProtection="0"/>
    <xf numFmtId="0" fontId="138" fillId="0" borderId="0" applyNumberFormat="0" applyFill="0" applyBorder="0" applyAlignment="0" applyProtection="0"/>
    <xf numFmtId="185" fontId="139" fillId="0" borderId="0" applyFill="0" applyBorder="0" applyAlignment="0" applyProtection="0"/>
    <xf numFmtId="185" fontId="117" fillId="0" borderId="0" applyFill="0" applyBorder="0" applyAlignment="0" applyProtection="0"/>
    <xf numFmtId="185" fontId="140" fillId="0" borderId="0" applyFill="0" applyBorder="0" applyAlignment="0" applyProtection="0"/>
    <xf numFmtId="185" fontId="141" fillId="0" borderId="0" applyFill="0" applyBorder="0" applyAlignment="0" applyProtection="0"/>
    <xf numFmtId="185" fontId="142" fillId="0" borderId="0" applyFill="0" applyBorder="0" applyAlignment="0" applyProtection="0"/>
    <xf numFmtId="185" fontId="143" fillId="0" borderId="0" applyFill="0" applyBorder="0" applyAlignment="0" applyProtection="0"/>
    <xf numFmtId="185" fontId="144" fillId="0" borderId="0" applyFill="0" applyBorder="0" applyAlignment="0" applyProtection="0"/>
    <xf numFmtId="2" fontId="132" fillId="0" borderId="0" applyFont="0" applyFill="0" applyBorder="0" applyAlignment="0" applyProtection="0"/>
    <xf numFmtId="0" fontId="145" fillId="35" borderId="0" applyNumberFormat="0" applyBorder="0" applyAlignment="0" applyProtection="0"/>
    <xf numFmtId="0" fontId="146" fillId="0" borderId="0">
      <alignment vertical="top"/>
    </xf>
    <xf numFmtId="0" fontId="147" fillId="0" borderId="0" applyNumberFormat="0" applyFill="0" applyBorder="0" applyAlignment="0" applyProtection="0"/>
    <xf numFmtId="0" fontId="148" fillId="0" borderId="0" applyNumberFormat="0" applyFill="0" applyBorder="0" applyAlignment="0" applyProtection="0"/>
    <xf numFmtId="0" fontId="149" fillId="0" borderId="71" applyNumberFormat="0" applyFill="0" applyAlignment="0" applyProtection="0"/>
    <xf numFmtId="0" fontId="149" fillId="0" borderId="0" applyNumberFormat="0" applyFill="0" applyBorder="0" applyAlignment="0" applyProtection="0"/>
    <xf numFmtId="176" fontId="150" fillId="0" borderId="0">
      <alignment vertical="top"/>
    </xf>
    <xf numFmtId="180" fontId="151" fillId="0" borderId="0"/>
    <xf numFmtId="0" fontId="152" fillId="0" borderId="0" applyNumberFormat="0" applyFill="0" applyBorder="0" applyAlignment="0" applyProtection="0">
      <alignment vertical="top"/>
      <protection locked="0"/>
    </xf>
    <xf numFmtId="0" fontId="153" fillId="38" borderId="69" applyNumberFormat="0" applyAlignment="0" applyProtection="0"/>
    <xf numFmtId="176" fontId="118" fillId="0" borderId="0">
      <alignment vertical="top"/>
    </xf>
    <xf numFmtId="176" fontId="118" fillId="31" borderId="0">
      <alignment vertical="top"/>
    </xf>
    <xf numFmtId="186" fontId="118" fillId="32" borderId="0">
      <alignment vertical="top"/>
    </xf>
    <xf numFmtId="38" fontId="118" fillId="0" borderId="0">
      <alignment vertical="top"/>
    </xf>
    <xf numFmtId="0" fontId="154" fillId="0" borderId="72" applyNumberFormat="0" applyFill="0" applyAlignment="0" applyProtection="0"/>
    <xf numFmtId="0" fontId="155" fillId="54" borderId="0" applyNumberFormat="0" applyBorder="0" applyAlignment="0" applyProtection="0"/>
    <xf numFmtId="0" fontId="127" fillId="0" borderId="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27" fillId="0" borderId="0"/>
    <xf numFmtId="0" fontId="157" fillId="0" borderId="0"/>
    <xf numFmtId="0" fontId="4" fillId="0" borderId="0"/>
    <xf numFmtId="0" fontId="123" fillId="55" borderId="73" applyNumberFormat="0" applyFont="0" applyAlignment="0" applyProtection="0"/>
    <xf numFmtId="187" fontId="127" fillId="0" borderId="0" applyFont="0" applyFill="0" applyBorder="0" applyAlignment="0" applyProtection="0"/>
    <xf numFmtId="188" fontId="127" fillId="0" borderId="0" applyFont="0" applyFill="0" applyBorder="0" applyAlignment="0" applyProtection="0"/>
    <xf numFmtId="0" fontId="158" fillId="51" borderId="74" applyNumberFormat="0" applyAlignment="0" applyProtection="0"/>
    <xf numFmtId="0" fontId="9" fillId="0" borderId="0" applyNumberFormat="0">
      <alignment horizontal="left"/>
    </xf>
    <xf numFmtId="4" fontId="159" fillId="56" borderId="74" applyNumberFormat="0" applyProtection="0">
      <alignment vertical="center"/>
    </xf>
    <xf numFmtId="4" fontId="160" fillId="56" borderId="74" applyNumberFormat="0" applyProtection="0">
      <alignment vertical="center"/>
    </xf>
    <xf numFmtId="4" fontId="159" fillId="56" borderId="74" applyNumberFormat="0" applyProtection="0">
      <alignment horizontal="left" vertical="center" indent="1"/>
    </xf>
    <xf numFmtId="4" fontId="159" fillId="56" borderId="74" applyNumberFormat="0" applyProtection="0">
      <alignment horizontal="left" vertical="center" indent="1"/>
    </xf>
    <xf numFmtId="0" fontId="131" fillId="57" borderId="74" applyNumberFormat="0" applyProtection="0">
      <alignment horizontal="left" vertical="center" indent="1"/>
    </xf>
    <xf numFmtId="4" fontId="159" fillId="58" borderId="74" applyNumberFormat="0" applyProtection="0">
      <alignment horizontal="right" vertical="center"/>
    </xf>
    <xf numFmtId="4" fontId="159" fillId="59" borderId="74" applyNumberFormat="0" applyProtection="0">
      <alignment horizontal="right" vertical="center"/>
    </xf>
    <xf numFmtId="4" fontId="159" fillId="60" borderId="74" applyNumberFormat="0" applyProtection="0">
      <alignment horizontal="right" vertical="center"/>
    </xf>
    <xf numFmtId="4" fontId="159" fillId="61" borderId="74" applyNumberFormat="0" applyProtection="0">
      <alignment horizontal="right" vertical="center"/>
    </xf>
    <xf numFmtId="4" fontId="159" fillId="62" borderId="74" applyNumberFormat="0" applyProtection="0">
      <alignment horizontal="right" vertical="center"/>
    </xf>
    <xf numFmtId="4" fontId="159" fillId="63" borderId="74" applyNumberFormat="0" applyProtection="0">
      <alignment horizontal="right" vertical="center"/>
    </xf>
    <xf numFmtId="4" fontId="159" fillId="64" borderId="74" applyNumberFormat="0" applyProtection="0">
      <alignment horizontal="right" vertical="center"/>
    </xf>
    <xf numFmtId="4" fontId="159" fillId="65" borderId="74" applyNumberFormat="0" applyProtection="0">
      <alignment horizontal="right" vertical="center"/>
    </xf>
    <xf numFmtId="4" fontId="159" fillId="66" borderId="74" applyNumberFormat="0" applyProtection="0">
      <alignment horizontal="right" vertical="center"/>
    </xf>
    <xf numFmtId="4" fontId="161" fillId="67" borderId="74" applyNumberFormat="0" applyProtection="0">
      <alignment horizontal="left" vertical="center" indent="1"/>
    </xf>
    <xf numFmtId="4" fontId="159" fillId="68" borderId="75" applyNumberFormat="0" applyProtection="0">
      <alignment horizontal="left" vertical="center" indent="1"/>
    </xf>
    <xf numFmtId="4" fontId="162" fillId="69" borderId="0" applyNumberFormat="0" applyProtection="0">
      <alignment horizontal="left" vertical="center" indent="1"/>
    </xf>
    <xf numFmtId="0" fontId="131" fillId="57" borderId="74" applyNumberFormat="0" applyProtection="0">
      <alignment horizontal="left" vertical="center" indent="1"/>
    </xf>
    <xf numFmtId="4" fontId="163" fillId="68" borderId="74" applyNumberFormat="0" applyProtection="0">
      <alignment horizontal="left" vertical="center" indent="1"/>
    </xf>
    <xf numFmtId="4" fontId="163" fillId="70" borderId="74" applyNumberFormat="0" applyProtection="0">
      <alignment horizontal="left" vertical="center" indent="1"/>
    </xf>
    <xf numFmtId="0" fontId="131" fillId="70" borderId="74" applyNumberFormat="0" applyProtection="0">
      <alignment horizontal="left" vertical="center" indent="1"/>
    </xf>
    <xf numFmtId="0" fontId="131" fillId="70" borderId="74" applyNumberFormat="0" applyProtection="0">
      <alignment horizontal="left" vertical="center" indent="1"/>
    </xf>
    <xf numFmtId="0" fontId="131" fillId="71" borderId="74" applyNumberFormat="0" applyProtection="0">
      <alignment horizontal="left" vertical="center" indent="1"/>
    </xf>
    <xf numFmtId="0" fontId="131" fillId="71" borderId="74" applyNumberFormat="0" applyProtection="0">
      <alignment horizontal="left" vertical="center" indent="1"/>
    </xf>
    <xf numFmtId="0" fontId="131" fillId="31" borderId="74" applyNumberFormat="0" applyProtection="0">
      <alignment horizontal="left" vertical="center" indent="1"/>
    </xf>
    <xf numFmtId="0" fontId="131" fillId="31" borderId="74" applyNumberFormat="0" applyProtection="0">
      <alignment horizontal="left" vertical="center" indent="1"/>
    </xf>
    <xf numFmtId="0" fontId="131" fillId="57" borderId="74" applyNumberFormat="0" applyProtection="0">
      <alignment horizontal="left" vertical="center" indent="1"/>
    </xf>
    <xf numFmtId="0" fontId="131" fillId="57" borderId="74" applyNumberFormat="0" applyProtection="0">
      <alignment horizontal="left" vertical="center" indent="1"/>
    </xf>
    <xf numFmtId="0" fontId="127" fillId="0" borderId="0"/>
    <xf numFmtId="4" fontId="159" fillId="72" borderId="74" applyNumberFormat="0" applyProtection="0">
      <alignment vertical="center"/>
    </xf>
    <xf numFmtId="4" fontId="160" fillId="72" borderId="74" applyNumberFormat="0" applyProtection="0">
      <alignment vertical="center"/>
    </xf>
    <xf numFmtId="4" fontId="159" fillId="72" borderId="74" applyNumberFormat="0" applyProtection="0">
      <alignment horizontal="left" vertical="center" indent="1"/>
    </xf>
    <xf numFmtId="4" fontId="159" fillId="72" borderId="74" applyNumberFormat="0" applyProtection="0">
      <alignment horizontal="left" vertical="center" indent="1"/>
    </xf>
    <xf numFmtId="4" fontId="159" fillId="68" borderId="74" applyNumberFormat="0" applyProtection="0">
      <alignment horizontal="right" vertical="center"/>
    </xf>
    <xf numFmtId="4" fontId="160" fillId="68" borderId="74" applyNumberFormat="0" applyProtection="0">
      <alignment horizontal="right" vertical="center"/>
    </xf>
    <xf numFmtId="0" fontId="131" fillId="57" borderId="74" applyNumberFormat="0" applyProtection="0">
      <alignment horizontal="left" vertical="center" indent="1"/>
    </xf>
    <xf numFmtId="0" fontId="131" fillId="57" borderId="74" applyNumberFormat="0" applyProtection="0">
      <alignment horizontal="left" vertical="center" indent="1"/>
    </xf>
    <xf numFmtId="0" fontId="164" fillId="0" borderId="0"/>
    <xf numFmtId="4" fontId="165" fillId="68" borderId="74" applyNumberFormat="0" applyProtection="0">
      <alignment horizontal="right" vertical="center"/>
    </xf>
    <xf numFmtId="0" fontId="4" fillId="0" borderId="0"/>
    <xf numFmtId="176" fontId="166" fillId="73" borderId="0">
      <alignment horizontal="right" vertical="top"/>
    </xf>
    <xf numFmtId="0" fontId="167" fillId="0" borderId="0" applyNumberFormat="0" applyFill="0" applyBorder="0" applyAlignment="0" applyProtection="0"/>
    <xf numFmtId="0" fontId="132" fillId="0" borderId="76" applyNumberFormat="0" applyFont="0" applyFill="0" applyAlignment="0" applyProtection="0"/>
    <xf numFmtId="0" fontId="168" fillId="0" borderId="0" applyNumberFormat="0" applyFill="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180" fontId="126" fillId="0" borderId="68">
      <protection locked="0"/>
    </xf>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58" fillId="51" borderId="74" applyNumberFormat="0" applyAlignment="0" applyProtection="0"/>
    <xf numFmtId="0" fontId="158" fillId="51" borderId="74" applyNumberFormat="0" applyAlignment="0" applyProtection="0"/>
    <xf numFmtId="0" fontId="158" fillId="51" borderId="74" applyNumberFormat="0" applyAlignment="0" applyProtection="0"/>
    <xf numFmtId="0" fontId="158" fillId="51" borderId="74" applyNumberFormat="0" applyAlignment="0" applyProtection="0"/>
    <xf numFmtId="0" fontId="158" fillId="51" borderId="74" applyNumberFormat="0" applyAlignment="0" applyProtection="0"/>
    <xf numFmtId="0" fontId="158" fillId="51" borderId="74" applyNumberFormat="0" applyAlignment="0" applyProtection="0"/>
    <xf numFmtId="0" fontId="158" fillId="51" borderId="74" applyNumberFormat="0" applyAlignment="0" applyProtection="0"/>
    <xf numFmtId="0" fontId="158" fillId="51" borderId="74" applyNumberFormat="0" applyAlignment="0" applyProtection="0"/>
    <xf numFmtId="0" fontId="158" fillId="51" borderId="74" applyNumberFormat="0" applyAlignment="0" applyProtection="0"/>
    <xf numFmtId="0" fontId="158" fillId="51" borderId="74" applyNumberFormat="0" applyAlignment="0" applyProtection="0"/>
    <xf numFmtId="0" fontId="158" fillId="51" borderId="74" applyNumberFormat="0" applyAlignment="0" applyProtection="0"/>
    <xf numFmtId="0" fontId="158" fillId="51" borderId="74" applyNumberFormat="0" applyAlignment="0" applyProtection="0"/>
    <xf numFmtId="0" fontId="158" fillId="51" borderId="74" applyNumberFormat="0" applyAlignment="0" applyProtection="0"/>
    <xf numFmtId="0" fontId="158" fillId="51" borderId="74" applyNumberFormat="0" applyAlignment="0" applyProtection="0"/>
    <xf numFmtId="0" fontId="158" fillId="51" borderId="74" applyNumberFormat="0" applyAlignment="0" applyProtection="0"/>
    <xf numFmtId="0" fontId="158" fillId="51" borderId="74" applyNumberFormat="0" applyAlignment="0" applyProtection="0"/>
    <xf numFmtId="0" fontId="158" fillId="51" borderId="74" applyNumberFormat="0" applyAlignment="0" applyProtection="0"/>
    <xf numFmtId="0" fontId="158" fillId="51" borderId="74" applyNumberFormat="0" applyAlignment="0" applyProtection="0"/>
    <xf numFmtId="0" fontId="158" fillId="51" borderId="74" applyNumberFormat="0" applyAlignment="0" applyProtection="0"/>
    <xf numFmtId="0" fontId="158" fillId="51" borderId="74" applyNumberFormat="0" applyAlignment="0" applyProtection="0"/>
    <xf numFmtId="0" fontId="158" fillId="51" borderId="74" applyNumberFormat="0" applyAlignment="0" applyProtection="0"/>
    <xf numFmtId="0" fontId="158" fillId="51" borderId="74" applyNumberFormat="0" applyAlignment="0" applyProtection="0"/>
    <xf numFmtId="0" fontId="158" fillId="51" borderId="74" applyNumberFormat="0" applyAlignment="0" applyProtection="0"/>
    <xf numFmtId="0" fontId="158" fillId="51" borderId="74" applyNumberFormat="0" applyAlignment="0" applyProtection="0"/>
    <xf numFmtId="0" fontId="158" fillId="51" borderId="74" applyNumberFormat="0" applyAlignment="0" applyProtection="0"/>
    <xf numFmtId="0" fontId="129" fillId="51" borderId="69" applyNumberFormat="0" applyAlignment="0" applyProtection="0"/>
    <xf numFmtId="0" fontId="129" fillId="51" borderId="69" applyNumberFormat="0" applyAlignment="0" applyProtection="0"/>
    <xf numFmtId="0" fontId="129" fillId="51" borderId="69" applyNumberFormat="0" applyAlignment="0" applyProtection="0"/>
    <xf numFmtId="0" fontId="129" fillId="51" borderId="69" applyNumberFormat="0" applyAlignment="0" applyProtection="0"/>
    <xf numFmtId="0" fontId="129" fillId="51" borderId="69" applyNumberFormat="0" applyAlignment="0" applyProtection="0"/>
    <xf numFmtId="0" fontId="129" fillId="51" borderId="69" applyNumberFormat="0" applyAlignment="0" applyProtection="0"/>
    <xf numFmtId="0" fontId="129" fillId="51" borderId="69" applyNumberFormat="0" applyAlignment="0" applyProtection="0"/>
    <xf numFmtId="0" fontId="129" fillId="51" borderId="69" applyNumberFormat="0" applyAlignment="0" applyProtection="0"/>
    <xf numFmtId="0" fontId="129" fillId="51" borderId="69" applyNumberFormat="0" applyAlignment="0" applyProtection="0"/>
    <xf numFmtId="0" fontId="129" fillId="51" borderId="69" applyNumberFormat="0" applyAlignment="0" applyProtection="0"/>
    <xf numFmtId="0" fontId="129" fillId="51" borderId="69" applyNumberFormat="0" applyAlignment="0" applyProtection="0"/>
    <xf numFmtId="0" fontId="129" fillId="51" borderId="69" applyNumberFormat="0" applyAlignment="0" applyProtection="0"/>
    <xf numFmtId="0" fontId="129" fillId="51" borderId="69" applyNumberFormat="0" applyAlignment="0" applyProtection="0"/>
    <xf numFmtId="0" fontId="129" fillId="51" borderId="69" applyNumberFormat="0" applyAlignment="0" applyProtection="0"/>
    <xf numFmtId="0" fontId="129" fillId="51" borderId="69" applyNumberFormat="0" applyAlignment="0" applyProtection="0"/>
    <xf numFmtId="0" fontId="129" fillId="51" borderId="69" applyNumberFormat="0" applyAlignment="0" applyProtection="0"/>
    <xf numFmtId="0" fontId="129" fillId="51" borderId="69" applyNumberFormat="0" applyAlignment="0" applyProtection="0"/>
    <xf numFmtId="0" fontId="129" fillId="51" borderId="69" applyNumberFormat="0" applyAlignment="0" applyProtection="0"/>
    <xf numFmtId="0" fontId="129" fillId="51" borderId="69" applyNumberFormat="0" applyAlignment="0" applyProtection="0"/>
    <xf numFmtId="0" fontId="129" fillId="51" borderId="69" applyNumberFormat="0" applyAlignment="0" applyProtection="0"/>
    <xf numFmtId="0" fontId="129" fillId="51" borderId="69" applyNumberFormat="0" applyAlignment="0" applyProtection="0"/>
    <xf numFmtId="0" fontId="129" fillId="51" borderId="69" applyNumberFormat="0" applyAlignment="0" applyProtection="0"/>
    <xf numFmtId="0" fontId="129" fillId="51" borderId="69" applyNumberFormat="0" applyAlignment="0" applyProtection="0"/>
    <xf numFmtId="0" fontId="129" fillId="51" borderId="69" applyNumberFormat="0" applyAlignment="0" applyProtection="0"/>
    <xf numFmtId="0" fontId="129" fillId="51" borderId="69" applyNumberFormat="0" applyAlignment="0" applyProtection="0"/>
    <xf numFmtId="0" fontId="169"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172" fontId="123" fillId="0" borderId="0" applyFont="0" applyFill="0" applyBorder="0" applyAlignment="0" applyProtection="0"/>
    <xf numFmtId="0" fontId="171" fillId="0" borderId="0" applyBorder="0">
      <alignment horizontal="center" vertical="center" wrapText="1"/>
    </xf>
    <xf numFmtId="0" fontId="172" fillId="0" borderId="77" applyNumberFormat="0" applyFill="0" applyAlignment="0" applyProtection="0"/>
    <xf numFmtId="0" fontId="172" fillId="0" borderId="77" applyNumberFormat="0" applyFill="0" applyAlignment="0" applyProtection="0"/>
    <xf numFmtId="0" fontId="172" fillId="0" borderId="77" applyNumberFormat="0" applyFill="0" applyAlignment="0" applyProtection="0"/>
    <xf numFmtId="0" fontId="172" fillId="0" borderId="77" applyNumberFormat="0" applyFill="0" applyAlignment="0" applyProtection="0"/>
    <xf numFmtId="0" fontId="172" fillId="0" borderId="77" applyNumberFormat="0" applyFill="0" applyAlignment="0" applyProtection="0"/>
    <xf numFmtId="0" fontId="172" fillId="0" borderId="77" applyNumberFormat="0" applyFill="0" applyAlignment="0" applyProtection="0"/>
    <xf numFmtId="0" fontId="172" fillId="0" borderId="77" applyNumberFormat="0" applyFill="0" applyAlignment="0" applyProtection="0"/>
    <xf numFmtId="0" fontId="172" fillId="0" borderId="77" applyNumberFormat="0" applyFill="0" applyAlignment="0" applyProtection="0"/>
    <xf numFmtId="0" fontId="172" fillId="0" borderId="77" applyNumberFormat="0" applyFill="0" applyAlignment="0" applyProtection="0"/>
    <xf numFmtId="0" fontId="172" fillId="0" borderId="77" applyNumberFormat="0" applyFill="0" applyAlignment="0" applyProtection="0"/>
    <xf numFmtId="0" fontId="172" fillId="0" borderId="77" applyNumberFormat="0" applyFill="0" applyAlignment="0" applyProtection="0"/>
    <xf numFmtId="0" fontId="172" fillId="0" borderId="77" applyNumberFormat="0" applyFill="0" applyAlignment="0" applyProtection="0"/>
    <xf numFmtId="0" fontId="172" fillId="0" borderId="77" applyNumberFormat="0" applyFill="0" applyAlignment="0" applyProtection="0"/>
    <xf numFmtId="0" fontId="172" fillId="0" borderId="77" applyNumberFormat="0" applyFill="0" applyAlignment="0" applyProtection="0"/>
    <xf numFmtId="0" fontId="172" fillId="0" borderId="77" applyNumberFormat="0" applyFill="0" applyAlignment="0" applyProtection="0"/>
    <xf numFmtId="0" fontId="172" fillId="0" borderId="77" applyNumberFormat="0" applyFill="0" applyAlignment="0" applyProtection="0"/>
    <xf numFmtId="0" fontId="172" fillId="0" borderId="77" applyNumberFormat="0" applyFill="0" applyAlignment="0" applyProtection="0"/>
    <xf numFmtId="0" fontId="172" fillId="0" borderId="77" applyNumberFormat="0" applyFill="0" applyAlignment="0" applyProtection="0"/>
    <xf numFmtId="0" fontId="172" fillId="0" borderId="77" applyNumberFormat="0" applyFill="0" applyAlignment="0" applyProtection="0"/>
    <xf numFmtId="0" fontId="172" fillId="0" borderId="77" applyNumberFormat="0" applyFill="0" applyAlignment="0" applyProtection="0"/>
    <xf numFmtId="0" fontId="172" fillId="0" borderId="77" applyNumberFormat="0" applyFill="0" applyAlignment="0" applyProtection="0"/>
    <xf numFmtId="0" fontId="172" fillId="0" borderId="77" applyNumberFormat="0" applyFill="0" applyAlignment="0" applyProtection="0"/>
    <xf numFmtId="0" fontId="172" fillId="0" borderId="77" applyNumberFormat="0" applyFill="0" applyAlignment="0" applyProtection="0"/>
    <xf numFmtId="0" fontId="172" fillId="0" borderId="77" applyNumberFormat="0" applyFill="0" applyAlignment="0" applyProtection="0"/>
    <xf numFmtId="0" fontId="172" fillId="0" borderId="77"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73" fillId="0" borderId="78"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74" fillId="0" borderId="0" applyNumberFormat="0" applyFill="0" applyBorder="0" applyAlignment="0" applyProtection="0"/>
    <xf numFmtId="0" fontId="175" fillId="0" borderId="0" applyNumberFormat="0" applyFill="0" applyBorder="0" applyAlignment="0" applyProtection="0"/>
    <xf numFmtId="0" fontId="112" fillId="0" borderId="79" applyBorder="0">
      <alignment horizontal="center" vertical="center" wrapText="1"/>
    </xf>
    <xf numFmtId="180" fontId="133" fillId="53" borderId="68"/>
    <xf numFmtId="4" fontId="113" fillId="56" borderId="66" applyBorder="0">
      <alignment horizontal="right"/>
    </xf>
    <xf numFmtId="49" fontId="176" fillId="0" borderId="0" applyBorder="0">
      <alignment vertical="center"/>
    </xf>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3" fontId="133" fillId="0" borderId="66" applyBorder="0">
      <alignment vertical="center"/>
    </xf>
    <xf numFmtId="0" fontId="156" fillId="0" borderId="67" applyNumberFormat="0" applyFill="0" applyAlignment="0" applyProtection="0"/>
    <xf numFmtId="0" fontId="156" fillId="0" borderId="67" applyNumberFormat="0" applyFill="0" applyAlignment="0" applyProtection="0"/>
    <xf numFmtId="0" fontId="156" fillId="0" borderId="67" applyNumberFormat="0" applyFill="0" applyAlignment="0" applyProtection="0"/>
    <xf numFmtId="0" fontId="156" fillId="0" borderId="67" applyNumberFormat="0" applyFill="0" applyAlignment="0" applyProtection="0"/>
    <xf numFmtId="0" fontId="156" fillId="0" borderId="67" applyNumberFormat="0" applyFill="0" applyAlignment="0" applyProtection="0"/>
    <xf numFmtId="0" fontId="156" fillId="0" borderId="67" applyNumberFormat="0" applyFill="0" applyAlignment="0" applyProtection="0"/>
    <xf numFmtId="0" fontId="156" fillId="0" borderId="67" applyNumberFormat="0" applyFill="0" applyAlignment="0" applyProtection="0"/>
    <xf numFmtId="0" fontId="156" fillId="0" borderId="67" applyNumberFormat="0" applyFill="0" applyAlignment="0" applyProtection="0"/>
    <xf numFmtId="0" fontId="156" fillId="0" borderId="67" applyNumberFormat="0" applyFill="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75" fillId="0" borderId="0">
      <alignment horizontal="center" vertical="top" wrapText="1"/>
    </xf>
    <xf numFmtId="0" fontId="178" fillId="0" borderId="0">
      <alignment horizontal="centerContinuous" vertical="center"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0" fontId="156" fillId="32" borderId="0" applyFill="0">
      <alignment wrapText="1"/>
    </xf>
    <xf numFmtId="165" fontId="179" fillId="32" borderId="66">
      <alignment wrapText="1"/>
    </xf>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49" fontId="113" fillId="0" borderId="0" applyBorder="0">
      <alignment vertical="top"/>
    </xf>
    <xf numFmtId="0" fontId="123" fillId="0" borderId="0"/>
    <xf numFmtId="49" fontId="113" fillId="0" borderId="0" applyBorder="0">
      <alignment vertical="top"/>
    </xf>
    <xf numFmtId="0" fontId="180" fillId="0" borderId="0"/>
    <xf numFmtId="0" fontId="180" fillId="0" borderId="0"/>
    <xf numFmtId="0" fontId="123" fillId="0" borderId="0"/>
    <xf numFmtId="0" fontId="123" fillId="0" borderId="0"/>
    <xf numFmtId="0" fontId="181" fillId="0" borderId="0"/>
    <xf numFmtId="0" fontId="127"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 fillId="0" borderId="0"/>
    <xf numFmtId="0" fontId="127" fillId="0" borderId="0"/>
    <xf numFmtId="0" fontId="127" fillId="0" borderId="0"/>
    <xf numFmtId="49" fontId="113" fillId="0" borderId="0" applyBorder="0">
      <alignment vertical="top"/>
    </xf>
    <xf numFmtId="0" fontId="131" fillId="0" borderId="0"/>
    <xf numFmtId="0" fontId="131" fillId="0" borderId="0"/>
    <xf numFmtId="0" fontId="182" fillId="0" borderId="0"/>
    <xf numFmtId="0" fontId="180" fillId="0" borderId="0"/>
    <xf numFmtId="49" fontId="113" fillId="0" borderId="0" applyBorder="0">
      <alignment vertical="top"/>
    </xf>
    <xf numFmtId="0" fontId="128" fillId="34" borderId="0" applyNumberFormat="0" applyBorder="0" applyAlignment="0" applyProtection="0"/>
    <xf numFmtId="0" fontId="128" fillId="34" borderId="0" applyNumberFormat="0" applyBorder="0" applyAlignment="0" applyProtection="0"/>
    <xf numFmtId="0" fontId="128" fillId="34" borderId="0" applyNumberFormat="0" applyBorder="0" applyAlignment="0" applyProtection="0"/>
    <xf numFmtId="0" fontId="128" fillId="34" borderId="0" applyNumberFormat="0" applyBorder="0" applyAlignment="0" applyProtection="0"/>
    <xf numFmtId="0" fontId="128" fillId="34" borderId="0" applyNumberFormat="0" applyBorder="0" applyAlignment="0" applyProtection="0"/>
    <xf numFmtId="0" fontId="128" fillId="34" borderId="0" applyNumberFormat="0" applyBorder="0" applyAlignment="0" applyProtection="0"/>
    <xf numFmtId="0" fontId="128" fillId="34" borderId="0" applyNumberFormat="0" applyBorder="0" applyAlignment="0" applyProtection="0"/>
    <xf numFmtId="0" fontId="128" fillId="34" borderId="0" applyNumberFormat="0" applyBorder="0" applyAlignment="0" applyProtection="0"/>
    <xf numFmtId="0" fontId="128" fillId="34" borderId="0" applyNumberFormat="0" applyBorder="0" applyAlignment="0" applyProtection="0"/>
    <xf numFmtId="0" fontId="128" fillId="34" borderId="0" applyNumberFormat="0" applyBorder="0" applyAlignment="0" applyProtection="0"/>
    <xf numFmtId="0" fontId="128" fillId="34" borderId="0" applyNumberFormat="0" applyBorder="0" applyAlignment="0" applyProtection="0"/>
    <xf numFmtId="0" fontId="128" fillId="34" borderId="0" applyNumberFormat="0" applyBorder="0" applyAlignment="0" applyProtection="0"/>
    <xf numFmtId="0" fontId="128" fillId="34" borderId="0" applyNumberFormat="0" applyBorder="0" applyAlignment="0" applyProtection="0"/>
    <xf numFmtId="0" fontId="128" fillId="34" borderId="0" applyNumberFormat="0" applyBorder="0" applyAlignment="0" applyProtection="0"/>
    <xf numFmtId="0" fontId="128" fillId="34" borderId="0" applyNumberFormat="0" applyBorder="0" applyAlignment="0" applyProtection="0"/>
    <xf numFmtId="0" fontId="128" fillId="34" borderId="0" applyNumberFormat="0" applyBorder="0" applyAlignment="0" applyProtection="0"/>
    <xf numFmtId="0" fontId="128" fillId="34" borderId="0" applyNumberFormat="0" applyBorder="0" applyAlignment="0" applyProtection="0"/>
    <xf numFmtId="0" fontId="127" fillId="0" borderId="0" applyFont="0" applyFill="0" applyBorder="0" applyProtection="0">
      <alignment horizontal="center" vertical="center" wrapText="1"/>
    </xf>
    <xf numFmtId="0" fontId="127" fillId="0" borderId="0" applyNumberFormat="0" applyFont="0" applyFill="0" applyBorder="0" applyProtection="0">
      <alignment horizontal="justify" vertical="center" wrapText="1"/>
    </xf>
    <xf numFmtId="185" fontId="183" fillId="56" borderId="81" applyNumberFormat="0" applyBorder="0" applyAlignment="0">
      <alignment vertical="center"/>
      <protection locked="0"/>
    </xf>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27" fillId="55" borderId="73" applyNumberFormat="0" applyFont="0" applyAlignment="0" applyProtection="0"/>
    <xf numFmtId="0" fontId="127" fillId="55" borderId="73" applyNumberFormat="0" applyFont="0" applyAlignment="0" applyProtection="0"/>
    <xf numFmtId="0" fontId="127" fillId="55" borderId="73" applyNumberFormat="0" applyFont="0" applyAlignment="0" applyProtection="0"/>
    <xf numFmtId="0" fontId="127" fillId="55" borderId="73" applyNumberFormat="0" applyFont="0" applyAlignment="0" applyProtection="0"/>
    <xf numFmtId="0" fontId="127" fillId="55" borderId="73" applyNumberFormat="0" applyFont="0" applyAlignment="0" applyProtection="0"/>
    <xf numFmtId="0" fontId="127" fillId="55" borderId="73" applyNumberFormat="0" applyFont="0" applyAlignment="0" applyProtection="0"/>
    <xf numFmtId="0" fontId="127" fillId="55" borderId="73" applyNumberFormat="0" applyFont="0" applyAlignment="0" applyProtection="0"/>
    <xf numFmtId="0" fontId="127" fillId="55" borderId="73" applyNumberFormat="0" applyFont="0" applyAlignment="0" applyProtection="0"/>
    <xf numFmtId="0" fontId="127" fillId="55" borderId="73" applyNumberFormat="0" applyFont="0" applyAlignment="0" applyProtection="0"/>
    <xf numFmtId="0" fontId="113"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0" fontId="131" fillId="55" borderId="73" applyNumberFormat="0" applyFont="0" applyAlignment="0" applyProtection="0"/>
    <xf numFmtId="9" fontId="182"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131" fillId="0" borderId="0" applyFont="0" applyFill="0" applyBorder="0" applyAlignment="0" applyProtection="0"/>
    <xf numFmtId="9" fontId="182" fillId="0" borderId="0" applyFont="0" applyFill="0" applyBorder="0" applyAlignment="0" applyProtection="0"/>
    <xf numFmtId="9" fontId="127" fillId="0" borderId="0" applyFont="0" applyFill="0" applyBorder="0" applyAlignment="0" applyProtection="0"/>
    <xf numFmtId="0" fontId="154" fillId="0" borderId="72" applyNumberFormat="0" applyFill="0" applyAlignment="0" applyProtection="0"/>
    <xf numFmtId="0" fontId="154" fillId="0" borderId="72" applyNumberFormat="0" applyFill="0" applyAlignment="0" applyProtection="0"/>
    <xf numFmtId="0" fontId="154" fillId="0" borderId="72" applyNumberFormat="0" applyFill="0" applyAlignment="0" applyProtection="0"/>
    <xf numFmtId="0" fontId="154" fillId="0" borderId="72" applyNumberFormat="0" applyFill="0" applyAlignment="0" applyProtection="0"/>
    <xf numFmtId="0" fontId="154" fillId="0" borderId="72" applyNumberFormat="0" applyFill="0" applyAlignment="0" applyProtection="0"/>
    <xf numFmtId="0" fontId="154" fillId="0" borderId="72" applyNumberFormat="0" applyFill="0" applyAlignment="0" applyProtection="0"/>
    <xf numFmtId="0" fontId="154" fillId="0" borderId="72" applyNumberFormat="0" applyFill="0" applyAlignment="0" applyProtection="0"/>
    <xf numFmtId="0" fontId="154" fillId="0" borderId="72" applyNumberFormat="0" applyFill="0" applyAlignment="0" applyProtection="0"/>
    <xf numFmtId="0" fontId="154" fillId="0" borderId="72" applyNumberFormat="0" applyFill="0" applyAlignment="0" applyProtection="0"/>
    <xf numFmtId="0" fontId="154" fillId="0" borderId="72" applyNumberFormat="0" applyFill="0" applyAlignment="0" applyProtection="0"/>
    <xf numFmtId="0" fontId="154" fillId="0" borderId="72" applyNumberFormat="0" applyFill="0" applyAlignment="0" applyProtection="0"/>
    <xf numFmtId="0" fontId="154" fillId="0" borderId="72" applyNumberFormat="0" applyFill="0" applyAlignment="0" applyProtection="0"/>
    <xf numFmtId="0" fontId="154" fillId="0" borderId="72" applyNumberFormat="0" applyFill="0" applyAlignment="0" applyProtection="0"/>
    <xf numFmtId="0" fontId="154" fillId="0" borderId="72" applyNumberFormat="0" applyFill="0" applyAlignment="0" applyProtection="0"/>
    <xf numFmtId="0" fontId="154" fillId="0" borderId="72" applyNumberFormat="0" applyFill="0" applyAlignment="0" applyProtection="0"/>
    <xf numFmtId="0" fontId="154" fillId="0" borderId="72" applyNumberFormat="0" applyFill="0" applyAlignment="0" applyProtection="0"/>
    <xf numFmtId="0" fontId="154" fillId="0" borderId="72" applyNumberFormat="0" applyFill="0" applyAlignment="0" applyProtection="0"/>
    <xf numFmtId="0" fontId="154" fillId="0" borderId="72" applyNumberFormat="0" applyFill="0" applyAlignment="0" applyProtection="0"/>
    <xf numFmtId="0" fontId="154" fillId="0" borderId="72" applyNumberFormat="0" applyFill="0" applyAlignment="0" applyProtection="0"/>
    <xf numFmtId="0" fontId="154" fillId="0" borderId="72" applyNumberFormat="0" applyFill="0" applyAlignment="0" applyProtection="0"/>
    <xf numFmtId="0" fontId="154" fillId="0" borderId="72" applyNumberFormat="0" applyFill="0" applyAlignment="0" applyProtection="0"/>
    <xf numFmtId="0" fontId="154" fillId="0" borderId="72" applyNumberFormat="0" applyFill="0" applyAlignment="0" applyProtection="0"/>
    <xf numFmtId="0" fontId="154" fillId="0" borderId="72" applyNumberFormat="0" applyFill="0" applyAlignment="0" applyProtection="0"/>
    <xf numFmtId="0" fontId="154" fillId="0" borderId="72" applyNumberFormat="0" applyFill="0" applyAlignment="0" applyProtection="0"/>
    <xf numFmtId="0" fontId="154" fillId="0" borderId="72" applyNumberFormat="0" applyFill="0" applyAlignment="0" applyProtection="0"/>
    <xf numFmtId="0" fontId="4" fillId="0" borderId="0"/>
    <xf numFmtId="176" fontId="117" fillId="0" borderId="0">
      <alignment vertical="top"/>
    </xf>
    <xf numFmtId="176" fontId="117" fillId="0" borderId="0">
      <alignment vertical="top"/>
    </xf>
    <xf numFmtId="3" fontId="184" fillId="0" borderId="0"/>
    <xf numFmtId="185" fontId="156" fillId="0" borderId="0" applyFill="0" applyBorder="0" applyAlignment="0" applyProtection="0"/>
    <xf numFmtId="185" fontId="156" fillId="0" borderId="0" applyFill="0" applyBorder="0" applyAlignment="0" applyProtection="0"/>
    <xf numFmtId="185" fontId="156" fillId="0" borderId="0" applyFill="0" applyBorder="0" applyAlignment="0" applyProtection="0"/>
    <xf numFmtId="185" fontId="156" fillId="0" borderId="0" applyFill="0" applyBorder="0" applyAlignment="0" applyProtection="0"/>
    <xf numFmtId="185" fontId="156" fillId="0" borderId="0" applyFill="0" applyBorder="0" applyAlignment="0" applyProtection="0"/>
    <xf numFmtId="185" fontId="156" fillId="0" borderId="0" applyFill="0" applyBorder="0" applyAlignment="0" applyProtection="0"/>
    <xf numFmtId="185" fontId="156" fillId="0" borderId="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49" fontId="156" fillId="0" borderId="0">
      <alignment horizontal="center"/>
    </xf>
    <xf numFmtId="49" fontId="156" fillId="0" borderId="0">
      <alignment horizontal="center"/>
    </xf>
    <xf numFmtId="49" fontId="156" fillId="0" borderId="0">
      <alignment horizontal="center"/>
    </xf>
    <xf numFmtId="49" fontId="156" fillId="0" borderId="0">
      <alignment horizontal="center"/>
    </xf>
    <xf numFmtId="49" fontId="156" fillId="0" borderId="0">
      <alignment horizontal="center"/>
    </xf>
    <xf numFmtId="49" fontId="156" fillId="0" borderId="0">
      <alignment horizontal="center"/>
    </xf>
    <xf numFmtId="49" fontId="156" fillId="0" borderId="0">
      <alignment horizontal="center"/>
    </xf>
    <xf numFmtId="49" fontId="156" fillId="0" borderId="0">
      <alignment horizontal="center"/>
    </xf>
    <xf numFmtId="49" fontId="156" fillId="0" borderId="0">
      <alignment horizontal="center"/>
    </xf>
    <xf numFmtId="2" fontId="156" fillId="0" borderId="0" applyFill="0" applyBorder="0" applyAlignment="0" applyProtection="0"/>
    <xf numFmtId="2" fontId="156" fillId="0" borderId="0" applyFill="0" applyBorder="0" applyAlignment="0" applyProtection="0"/>
    <xf numFmtId="2" fontId="156" fillId="0" borderId="0" applyFill="0" applyBorder="0" applyAlignment="0" applyProtection="0"/>
    <xf numFmtId="2" fontId="156" fillId="0" borderId="0" applyFill="0" applyBorder="0" applyAlignment="0" applyProtection="0"/>
    <xf numFmtId="2" fontId="156" fillId="0" borderId="0" applyFill="0" applyBorder="0" applyAlignment="0" applyProtection="0"/>
    <xf numFmtId="2" fontId="156" fillId="0" borderId="0" applyFill="0" applyBorder="0" applyAlignment="0" applyProtection="0"/>
    <xf numFmtId="2" fontId="156" fillId="0" borderId="0" applyFill="0" applyBorder="0" applyAlignment="0" applyProtection="0"/>
    <xf numFmtId="2" fontId="156" fillId="0" borderId="0" applyFill="0" applyBorder="0" applyAlignment="0" applyProtection="0"/>
    <xf numFmtId="2" fontId="156" fillId="0" borderId="0" applyFill="0" applyBorder="0" applyAlignment="0" applyProtection="0"/>
    <xf numFmtId="191" fontId="127" fillId="0" borderId="0" applyFont="0" applyFill="0" applyBorder="0" applyAlignment="0" applyProtection="0"/>
    <xf numFmtId="191" fontId="123" fillId="0" borderId="0" applyFont="0" applyFill="0" applyBorder="0" applyAlignment="0" applyProtection="0"/>
    <xf numFmtId="191" fontId="123" fillId="0" borderId="0" applyFont="0" applyFill="0" applyBorder="0" applyAlignment="0" applyProtection="0"/>
    <xf numFmtId="191" fontId="127" fillId="0" borderId="0" applyFont="0" applyFill="0" applyBorder="0" applyAlignment="0" applyProtection="0"/>
    <xf numFmtId="191" fontId="180" fillId="0" borderId="0" applyFont="0" applyFill="0" applyBorder="0" applyAlignment="0" applyProtection="0"/>
    <xf numFmtId="4" fontId="113" fillId="32" borderId="0" applyFont="0" applyBorder="0">
      <alignment horizontal="right"/>
    </xf>
    <xf numFmtId="4" fontId="113" fillId="32" borderId="0" applyBorder="0">
      <alignment horizontal="right"/>
    </xf>
    <xf numFmtId="4" fontId="113" fillId="32" borderId="0" applyFont="0" applyBorder="0">
      <alignment horizontal="right"/>
    </xf>
    <xf numFmtId="4" fontId="113" fillId="32" borderId="0" applyBorder="0">
      <alignment horizontal="right"/>
    </xf>
    <xf numFmtId="4" fontId="113" fillId="74" borderId="82" applyBorder="0">
      <alignment horizontal="right"/>
    </xf>
    <xf numFmtId="4" fontId="113" fillId="32" borderId="82" applyBorder="0">
      <alignment horizontal="right"/>
    </xf>
    <xf numFmtId="4" fontId="113" fillId="32" borderId="66" applyFont="0" applyBorder="0">
      <alignment horizontal="right"/>
    </xf>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170" fontId="127" fillId="0" borderId="66" applyFont="0" applyFill="0" applyBorder="0" applyProtection="0">
      <alignment horizontal="center" vertical="center"/>
    </xf>
    <xf numFmtId="172" fontId="121" fillId="0" borderId="0">
      <protection locked="0"/>
    </xf>
    <xf numFmtId="0" fontId="126" fillId="0" borderId="66" applyBorder="0">
      <alignment horizontal="center" vertical="center" wrapText="1"/>
    </xf>
    <xf numFmtId="0" fontId="185" fillId="0" borderId="0"/>
    <xf numFmtId="0" fontId="1" fillId="0" borderId="0"/>
    <xf numFmtId="9" fontId="1" fillId="0" borderId="0" applyFont="0" applyFill="0" applyBorder="0" applyAlignment="0" applyProtection="0"/>
    <xf numFmtId="0" fontId="186" fillId="0" borderId="0"/>
    <xf numFmtId="0" fontId="12" fillId="0" borderId="0"/>
    <xf numFmtId="2" fontId="187" fillId="0" borderId="0">
      <alignment horizontal="center"/>
    </xf>
    <xf numFmtId="0" fontId="1" fillId="0" borderId="0"/>
    <xf numFmtId="0" fontId="131" fillId="0" borderId="0"/>
    <xf numFmtId="0" fontId="185" fillId="0" borderId="0"/>
    <xf numFmtId="0" fontId="185" fillId="0" borderId="0"/>
    <xf numFmtId="0" fontId="185" fillId="0" borderId="0"/>
    <xf numFmtId="0" fontId="127" fillId="0" borderId="0"/>
    <xf numFmtId="0" fontId="1" fillId="0" borderId="0"/>
    <xf numFmtId="0" fontId="131" fillId="0" borderId="0"/>
    <xf numFmtId="0" fontId="131" fillId="0" borderId="0"/>
    <xf numFmtId="0" fontId="127" fillId="0" borderId="0"/>
    <xf numFmtId="0" fontId="1" fillId="0" borderId="0"/>
    <xf numFmtId="0" fontId="127" fillId="0" borderId="0"/>
    <xf numFmtId="0" fontId="1" fillId="0" borderId="0"/>
    <xf numFmtId="0" fontId="1" fillId="0" borderId="0"/>
    <xf numFmtId="0" fontId="1" fillId="0" borderId="0"/>
    <xf numFmtId="192" fontId="186" fillId="0" borderId="0" applyBorder="0" applyProtection="0"/>
    <xf numFmtId="191" fontId="1" fillId="0" borderId="0" applyFont="0" applyFill="0" applyBorder="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77" fillId="0" borderId="80" applyNumberFormat="0" applyFill="0" applyAlignment="0" applyProtection="0"/>
    <xf numFmtId="0" fontId="119" fillId="0" borderId="0"/>
    <xf numFmtId="0" fontId="119" fillId="0" borderId="0"/>
    <xf numFmtId="0" fontId="119" fillId="0" borderId="0"/>
    <xf numFmtId="0" fontId="119" fillId="0" borderId="0"/>
    <xf numFmtId="0" fontId="119" fillId="0" borderId="0"/>
    <xf numFmtId="171" fontId="131" fillId="0" borderId="0" applyFont="0" applyFill="0" applyBorder="0" applyAlignment="0" applyProtection="0"/>
    <xf numFmtId="173" fontId="131" fillId="0" borderId="0" applyFont="0" applyFill="0" applyBorder="0" applyAlignment="0" applyProtection="0"/>
    <xf numFmtId="193" fontId="131" fillId="0" borderId="0" applyFont="0" applyFill="0" applyBorder="0" applyAlignment="0" applyProtection="0"/>
    <xf numFmtId="189" fontId="127" fillId="0" borderId="0" applyFont="0" applyFill="0" applyBorder="0" applyAlignment="0" applyProtection="0"/>
    <xf numFmtId="190" fontId="127" fillId="0" borderId="0" applyFont="0" applyFill="0" applyBorder="0" applyAlignment="0" applyProtection="0"/>
    <xf numFmtId="0" fontId="153" fillId="38" borderId="69" applyNumberFormat="0" applyAlignment="0" applyProtection="0"/>
    <xf numFmtId="0" fontId="138" fillId="0" borderId="0" applyNumberFormat="0" applyFill="0" applyBorder="0" applyAlignment="0" applyProtection="0"/>
    <xf numFmtId="0" fontId="153" fillId="38" borderId="69" applyNumberFormat="0" applyAlignment="0" applyProtection="0"/>
    <xf numFmtId="0" fontId="153" fillId="38" borderId="69" applyNumberFormat="0" applyAlignment="0" applyProtection="0"/>
    <xf numFmtId="0" fontId="153" fillId="38" borderId="69" applyNumberFormat="0" applyAlignment="0" applyProtection="0"/>
    <xf numFmtId="0" fontId="177" fillId="0" borderId="80" applyNumberFormat="0" applyFill="0" applyAlignment="0" applyProtection="0"/>
    <xf numFmtId="0" fontId="158" fillId="51" borderId="74" applyNumberFormat="0" applyAlignment="0" applyProtection="0"/>
    <xf numFmtId="0" fontId="177" fillId="0" borderId="80" applyNumberFormat="0" applyFill="0" applyAlignment="0" applyProtection="0"/>
    <xf numFmtId="0" fontId="128" fillId="34" borderId="0" applyNumberFormat="0" applyBorder="0" applyAlignment="0" applyProtection="0"/>
    <xf numFmtId="0" fontId="124" fillId="50" borderId="0" applyNumberFormat="0" applyBorder="0" applyAlignment="0" applyProtection="0"/>
    <xf numFmtId="0" fontId="128" fillId="34" borderId="0" applyNumberFormat="0" applyBorder="0" applyAlignment="0" applyProtection="0"/>
    <xf numFmtId="0" fontId="167" fillId="0" borderId="0" applyNumberFormat="0" applyFill="0" applyBorder="0" applyAlignment="0" applyProtection="0"/>
    <xf numFmtId="0" fontId="138" fillId="0" borderId="0" applyNumberFormat="0" applyFill="0" applyBorder="0" applyAlignment="0" applyProtection="0"/>
    <xf numFmtId="0" fontId="167" fillId="0" borderId="0" applyNumberFormat="0" applyFill="0" applyBorder="0" applyAlignment="0" applyProtection="0"/>
    <xf numFmtId="0" fontId="129" fillId="51" borderId="69" applyNumberFormat="0" applyAlignment="0" applyProtection="0"/>
    <xf numFmtId="0" fontId="172" fillId="0" borderId="77" applyNumberFormat="0" applyFill="0" applyAlignment="0" applyProtection="0"/>
    <xf numFmtId="0" fontId="129" fillId="51" borderId="69" applyNumberFormat="0" applyAlignment="0" applyProtection="0"/>
    <xf numFmtId="0" fontId="123" fillId="40" borderId="0" applyNumberFormat="0" applyBorder="0" applyAlignment="0" applyProtection="0"/>
    <xf numFmtId="0" fontId="154" fillId="0" borderId="72" applyNumberFormat="0" applyFill="0" applyAlignment="0" applyProtection="0"/>
    <xf numFmtId="0" fontId="130" fillId="52" borderId="70" applyNumberFormat="0" applyAlignment="0" applyProtection="0"/>
    <xf numFmtId="0" fontId="168" fillId="0" borderId="0" applyNumberFormat="0" applyFill="0" applyBorder="0" applyAlignment="0" applyProtection="0"/>
    <xf numFmtId="0" fontId="185" fillId="0" borderId="0"/>
    <xf numFmtId="0" fontId="127" fillId="0" borderId="0"/>
    <xf numFmtId="0" fontId="186" fillId="0" borderId="0"/>
    <xf numFmtId="0" fontId="131" fillId="0" borderId="0"/>
    <xf numFmtId="9" fontId="1" fillId="0" borderId="0" applyFont="0" applyFill="0" applyBorder="0" applyAlignment="0" applyProtection="0"/>
    <xf numFmtId="0" fontId="117" fillId="0" borderId="0"/>
  </cellStyleXfs>
  <cellXfs count="3044">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2" fillId="0" borderId="0" xfId="0" applyNumberFormat="1" applyFont="1" applyAlignment="1"/>
    <xf numFmtId="0" fontId="6" fillId="0" borderId="0" xfId="0" applyNumberFormat="1" applyFont="1" applyAlignment="1">
      <alignment vertical="top" wrapText="1"/>
    </xf>
    <xf numFmtId="49" fontId="0" fillId="0" borderId="0" xfId="0" applyNumberFormat="1" applyFont="1">
      <alignment vertical="top"/>
    </xf>
    <xf numFmtId="49" fontId="6" fillId="7" borderId="1" xfId="0" applyNumberFormat="1" applyFont="1" applyFill="1" applyBorder="1" applyAlignment="1">
      <alignment horizontal="center" vertical="top"/>
    </xf>
    <xf numFmtId="49" fontId="0" fillId="0" borderId="0" xfId="0" applyNumberFormat="1" applyFont="1">
      <alignment vertical="top"/>
    </xf>
    <xf numFmtId="0" fontId="6" fillId="0" borderId="0" xfId="0" applyNumberFormat="1" applyFont="1" applyAlignment="1"/>
    <xf numFmtId="0" fontId="6" fillId="8" borderId="0" xfId="0" applyNumberFormat="1" applyFont="1" applyFill="1" applyAlignment="1"/>
    <xf numFmtId="0" fontId="15" fillId="0" borderId="0" xfId="0" applyNumberFormat="1" applyFont="1" applyAlignment="1">
      <alignment vertical="center" wrapText="1"/>
    </xf>
    <xf numFmtId="0" fontId="16" fillId="0" borderId="0" xfId="0" applyNumberFormat="1" applyFont="1" applyAlignment="1">
      <alignment vertical="center" wrapText="1"/>
    </xf>
    <xf numFmtId="0" fontId="6" fillId="8" borderId="0" xfId="0" applyNumberFormat="1" applyFont="1" applyFill="1" applyAlignment="1">
      <alignment vertical="center" wrapText="1"/>
    </xf>
    <xf numFmtId="0" fontId="6" fillId="0" borderId="0" xfId="0" applyNumberFormat="1" applyFont="1" applyAlignment="1">
      <alignment vertical="center" wrapText="1"/>
    </xf>
    <xf numFmtId="0" fontId="17" fillId="8" borderId="0" xfId="0" applyNumberFormat="1" applyFont="1" applyFill="1" applyAlignment="1">
      <alignment vertical="center" wrapText="1"/>
    </xf>
    <xf numFmtId="0" fontId="6" fillId="8" borderId="0" xfId="0" applyNumberFormat="1" applyFont="1" applyFill="1" applyAlignment="1">
      <alignment horizontal="right" vertical="center" wrapText="1" indent="1"/>
    </xf>
    <xf numFmtId="0" fontId="6" fillId="8" borderId="0" xfId="0" applyNumberFormat="1" applyFont="1" applyFill="1" applyAlignment="1">
      <alignment horizontal="center" vertical="center" wrapText="1"/>
    </xf>
    <xf numFmtId="0" fontId="16"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0" fontId="6" fillId="0" borderId="0" xfId="0" applyNumberFormat="1" applyFont="1" applyAlignment="1">
      <alignment vertical="center"/>
    </xf>
    <xf numFmtId="49" fontId="6"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0" fontId="6" fillId="0" borderId="0" xfId="0" applyNumberFormat="1" applyFont="1" applyAlignment="1">
      <alignment vertical="center" wrapText="1"/>
    </xf>
    <xf numFmtId="0" fontId="6" fillId="8" borderId="0" xfId="0" applyNumberFormat="1" applyFont="1" applyFill="1" applyAlignment="1">
      <alignment vertical="center" wrapText="1"/>
    </xf>
    <xf numFmtId="0" fontId="6"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9"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20" fillId="8" borderId="0" xfId="0" applyNumberFormat="1" applyFont="1" applyFill="1" applyAlignment="1">
      <alignment horizontal="center" vertical="center" wrapText="1"/>
    </xf>
    <xf numFmtId="0" fontId="20" fillId="0" borderId="0" xfId="0" applyNumberFormat="1" applyFont="1" applyAlignment="1">
      <alignment horizontal="center" vertical="center"/>
    </xf>
    <xf numFmtId="0" fontId="20" fillId="8" borderId="0" xfId="0" applyNumberFormat="1" applyFont="1" applyFill="1" applyAlignment="1">
      <alignment horizontal="center" vertical="center"/>
    </xf>
    <xf numFmtId="49" fontId="21" fillId="0" borderId="2" xfId="0" applyNumberFormat="1" applyFont="1" applyBorder="1" applyAlignment="1">
      <alignment vertical="top" wrapText="1"/>
    </xf>
    <xf numFmtId="0" fontId="0" fillId="0" borderId="2" xfId="0" applyNumberFormat="1" applyFont="1" applyBorder="1" applyAlignment="1">
      <alignment vertical="top" wrapText="1"/>
    </xf>
    <xf numFmtId="0" fontId="6" fillId="8" borderId="0" xfId="0" applyNumberFormat="1" applyFont="1" applyFill="1" applyAlignment="1">
      <alignment horizontal="center" vertical="center" wrapText="1"/>
    </xf>
    <xf numFmtId="0" fontId="22" fillId="8" borderId="0" xfId="0" applyNumberFormat="1" applyFont="1" applyFill="1" applyAlignment="1">
      <alignment vertical="center" wrapText="1"/>
    </xf>
    <xf numFmtId="0" fontId="22" fillId="0" borderId="0" xfId="0" applyNumberFormat="1" applyFont="1" applyAlignment="1">
      <alignment vertical="center" wrapText="1"/>
    </xf>
    <xf numFmtId="0" fontId="15" fillId="0" borderId="0" xfId="0" applyNumberFormat="1" applyFont="1" applyAlignment="1">
      <alignment horizontal="left" vertical="center" wrapText="1"/>
    </xf>
    <xf numFmtId="49" fontId="15" fillId="0" borderId="0" xfId="0" applyNumberFormat="1" applyFont="1" applyAlignment="1">
      <alignment horizontal="left" vertical="center" wrapText="1"/>
    </xf>
    <xf numFmtId="0" fontId="0" fillId="0" borderId="0" xfId="0" applyNumberFormat="1" applyFont="1">
      <alignment vertical="top"/>
    </xf>
    <xf numFmtId="49" fontId="6" fillId="0" borderId="0" xfId="0" applyNumberFormat="1" applyFont="1" applyAlignment="1">
      <alignment vertical="center" wrapText="1"/>
    </xf>
    <xf numFmtId="49" fontId="6" fillId="0" borderId="0" xfId="0" applyNumberFormat="1" applyFont="1">
      <alignment vertical="top"/>
    </xf>
    <xf numFmtId="0" fontId="6" fillId="0" borderId="0" xfId="0" applyNumberFormat="1" applyFont="1" applyAlignment="1">
      <alignment vertical="center" wrapText="1"/>
    </xf>
    <xf numFmtId="0" fontId="0" fillId="0" borderId="0" xfId="0" applyNumberFormat="1" applyFont="1" applyAlignment="1">
      <alignment vertical="center"/>
    </xf>
    <xf numFmtId="0" fontId="6" fillId="8" borderId="3" xfId="0" applyNumberFormat="1" applyFont="1" applyFill="1" applyBorder="1" applyAlignment="1">
      <alignment horizontal="center" vertical="center" wrapText="1"/>
    </xf>
    <xf numFmtId="49" fontId="6" fillId="9" borderId="3" xfId="0" applyNumberFormat="1" applyFont="1" applyFill="1" applyBorder="1" applyAlignment="1" applyProtection="1">
      <alignment horizontal="left" vertical="center" wrapText="1"/>
      <protection locked="0"/>
    </xf>
    <xf numFmtId="49" fontId="23"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6" fillId="10" borderId="5" xfId="0" applyNumberFormat="1" applyFont="1" applyFill="1" applyBorder="1" applyAlignment="1">
      <alignment vertical="center" wrapText="1"/>
    </xf>
    <xf numFmtId="0" fontId="6" fillId="0" borderId="3" xfId="0" applyNumberFormat="1" applyFont="1" applyBorder="1" applyAlignment="1">
      <alignment horizontal="center" vertical="center" wrapText="1"/>
    </xf>
    <xf numFmtId="0" fontId="24" fillId="0" borderId="0" xfId="0" applyNumberFormat="1" applyFont="1" applyAlignment="1">
      <alignment vertical="center"/>
    </xf>
    <xf numFmtId="49" fontId="6" fillId="0" borderId="3" xfId="0" applyNumberFormat="1" applyFont="1" applyBorder="1" applyAlignment="1">
      <alignment horizontal="center" vertical="center" wrapText="1"/>
    </xf>
    <xf numFmtId="0" fontId="6" fillId="8" borderId="3" xfId="0" applyNumberFormat="1" applyFont="1" applyFill="1" applyBorder="1" applyAlignment="1">
      <alignment horizontal="center" vertical="center"/>
    </xf>
    <xf numFmtId="49" fontId="6" fillId="9" borderId="3" xfId="0" applyNumberFormat="1" applyFont="1" applyFill="1" applyBorder="1" applyAlignment="1" applyProtection="1">
      <alignment horizontal="left" vertical="center" wrapText="1"/>
      <protection locked="0"/>
    </xf>
    <xf numFmtId="0" fontId="15" fillId="0" borderId="0" xfId="0" applyNumberFormat="1" applyFont="1" applyAlignment="1">
      <alignment vertical="center" wrapText="1"/>
    </xf>
    <xf numFmtId="0" fontId="25" fillId="0" borderId="0" xfId="0" applyNumberFormat="1" applyFont="1" applyAlignment="1">
      <alignment vertical="center" wrapText="1"/>
    </xf>
    <xf numFmtId="49" fontId="6" fillId="0" borderId="0" xfId="0" applyNumberFormat="1" applyFont="1">
      <alignment vertical="top"/>
    </xf>
    <xf numFmtId="49" fontId="15" fillId="0" borderId="0" xfId="0" applyNumberFormat="1" applyFont="1">
      <alignment vertical="top"/>
    </xf>
    <xf numFmtId="49" fontId="6" fillId="0" borderId="0" xfId="0" applyNumberFormat="1" applyFont="1">
      <alignment vertical="top"/>
    </xf>
    <xf numFmtId="49" fontId="20" fillId="0" borderId="0" xfId="0" applyNumberFormat="1" applyFont="1" applyAlignment="1">
      <alignment horizontal="center" vertical="center"/>
    </xf>
    <xf numFmtId="49" fontId="6" fillId="0" borderId="0" xfId="0" applyNumberFormat="1" applyFont="1">
      <alignment vertical="top"/>
    </xf>
    <xf numFmtId="0" fontId="6" fillId="8" borderId="0" xfId="0" applyNumberFormat="1" applyFont="1" applyFill="1" applyAlignment="1"/>
    <xf numFmtId="0" fontId="26" fillId="8" borderId="0" xfId="0" applyNumberFormat="1" applyFont="1" applyFill="1" applyAlignment="1">
      <alignment horizontal="center" vertical="center" wrapText="1"/>
    </xf>
    <xf numFmtId="0" fontId="15" fillId="8" borderId="0" xfId="0" applyNumberFormat="1" applyFont="1" applyFill="1" applyAlignment="1"/>
    <xf numFmtId="49" fontId="6" fillId="0" borderId="0" xfId="0" applyNumberFormat="1" applyFont="1">
      <alignment vertical="top"/>
    </xf>
    <xf numFmtId="49" fontId="20" fillId="0" borderId="0" xfId="0" applyNumberFormat="1" applyFont="1" applyAlignment="1">
      <alignment horizontal="center" vertical="center" wrapText="1"/>
    </xf>
    <xf numFmtId="0" fontId="6" fillId="8" borderId="3" xfId="0" applyNumberFormat="1" applyFont="1" applyFill="1" applyBorder="1" applyAlignment="1">
      <alignment horizontal="center" vertical="center" wrapText="1"/>
    </xf>
    <xf numFmtId="49" fontId="6" fillId="0" borderId="3" xfId="0" applyNumberFormat="1" applyFont="1" applyBorder="1" applyAlignment="1">
      <alignment horizontal="center" vertical="center" wrapText="1"/>
    </xf>
    <xf numFmtId="49" fontId="27" fillId="10" borderId="6" xfId="0" applyNumberFormat="1" applyFont="1" applyFill="1" applyBorder="1" applyAlignment="1">
      <alignment horizontal="center" vertical="top"/>
    </xf>
    <xf numFmtId="49" fontId="23" fillId="10" borderId="6" xfId="0" applyNumberFormat="1" applyFont="1" applyFill="1" applyBorder="1" applyAlignment="1">
      <alignment horizontal="left" vertical="center"/>
    </xf>
    <xf numFmtId="0" fontId="24" fillId="0" borderId="0" xfId="0" applyNumberFormat="1" applyFont="1" applyAlignment="1">
      <alignment vertical="center"/>
    </xf>
    <xf numFmtId="0" fontId="0" fillId="0" borderId="0" xfId="0" applyNumberFormat="1" applyFont="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20" fillId="8" borderId="0" xfId="0" applyNumberFormat="1" applyFont="1" applyFill="1" applyAlignment="1">
      <alignment horizontal="center" vertical="center" wrapText="1"/>
    </xf>
    <xf numFmtId="49" fontId="28" fillId="0" borderId="0" xfId="0" applyNumberFormat="1" applyFont="1" applyAlignment="1">
      <alignment horizontal="right" vertical="top"/>
    </xf>
    <xf numFmtId="49" fontId="28" fillId="0" borderId="0" xfId="0" applyNumberFormat="1" applyFont="1">
      <alignment vertical="top"/>
    </xf>
    <xf numFmtId="0" fontId="6" fillId="0" borderId="0" xfId="0" applyNumberFormat="1" applyFont="1" applyAlignment="1">
      <alignment horizontal="center" vertical="center" wrapText="1"/>
    </xf>
    <xf numFmtId="49" fontId="6" fillId="0" borderId="0" xfId="0" applyNumberFormat="1" applyFont="1">
      <alignment vertical="top"/>
    </xf>
    <xf numFmtId="0" fontId="0" fillId="0" borderId="0" xfId="0" applyNumberFormat="1" applyFont="1" applyAlignment="1">
      <alignment vertical="center"/>
    </xf>
    <xf numFmtId="0" fontId="29" fillId="0" borderId="0" xfId="0" applyNumberFormat="1" applyFont="1" applyAlignment="1">
      <alignment vertical="center" wrapText="1"/>
    </xf>
    <xf numFmtId="49" fontId="6" fillId="0" borderId="7" xfId="0" applyNumberFormat="1" applyFont="1" applyBorder="1">
      <alignment vertical="top"/>
    </xf>
    <xf numFmtId="49" fontId="30" fillId="0" borderId="0" xfId="0" applyNumberFormat="1" applyFont="1">
      <alignment vertical="top"/>
    </xf>
    <xf numFmtId="0" fontId="30"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5" fillId="0" borderId="0" xfId="0" applyNumberFormat="1" applyFont="1" applyAlignment="1">
      <alignment horizontal="left" vertical="center" wrapText="1"/>
    </xf>
    <xf numFmtId="49" fontId="6" fillId="0" borderId="3" xfId="0" applyNumberFormat="1" applyFont="1" applyBorder="1" applyAlignment="1">
      <alignment horizontal="left" vertical="center" wrapText="1"/>
    </xf>
    <xf numFmtId="0" fontId="6" fillId="8" borderId="8" xfId="0" applyNumberFormat="1" applyFont="1" applyFill="1" applyBorder="1" applyAlignment="1">
      <alignment horizontal="center" vertical="center"/>
    </xf>
    <xf numFmtId="0" fontId="6" fillId="0" borderId="3" xfId="0" applyNumberFormat="1" applyFont="1" applyBorder="1" applyAlignment="1">
      <alignment vertical="center" wrapText="1"/>
    </xf>
    <xf numFmtId="0" fontId="31" fillId="0" borderId="0" xfId="0" applyNumberFormat="1" applyFont="1" applyAlignment="1">
      <alignment vertical="center" wrapText="1"/>
    </xf>
    <xf numFmtId="0" fontId="31" fillId="0" borderId="0" xfId="0" applyNumberFormat="1" applyFont="1" applyAlignment="1">
      <alignment vertical="center"/>
    </xf>
    <xf numFmtId="0" fontId="32" fillId="0" borderId="0" xfId="0" applyNumberFormat="1" applyFont="1" applyAlignment="1">
      <alignment vertical="center"/>
    </xf>
    <xf numFmtId="0" fontId="31" fillId="0" borderId="0" xfId="0" applyNumberFormat="1" applyFont="1" applyAlignment="1">
      <alignment vertical="center"/>
    </xf>
    <xf numFmtId="0" fontId="31" fillId="0" borderId="0" xfId="0" applyNumberFormat="1" applyFont="1" applyAlignment="1">
      <alignment vertical="center"/>
    </xf>
    <xf numFmtId="0" fontId="0" fillId="0" borderId="0" xfId="0" applyNumberFormat="1" applyFont="1" applyAlignment="1">
      <alignment vertical="top" wrapText="1"/>
    </xf>
    <xf numFmtId="49" fontId="6" fillId="0" borderId="3" xfId="0" applyNumberFormat="1" applyFont="1" applyBorder="1" applyAlignment="1">
      <alignment horizontal="center" vertical="center" wrapText="1"/>
    </xf>
    <xf numFmtId="0" fontId="29"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4" fontId="6" fillId="0" borderId="0" xfId="0" applyNumberFormat="1" applyFont="1" applyAlignment="1">
      <alignment horizontal="right" vertical="center" wrapText="1"/>
    </xf>
    <xf numFmtId="0" fontId="6" fillId="0" borderId="0" xfId="0" applyNumberFormat="1" applyFont="1" applyAlignment="1">
      <alignment horizontal="left" vertical="center" wrapText="1" indent="1"/>
    </xf>
    <xf numFmtId="49" fontId="6" fillId="0" borderId="0" xfId="0" applyNumberFormat="1" applyFont="1">
      <alignment vertical="top"/>
    </xf>
    <xf numFmtId="4" fontId="6" fillId="0" borderId="0" xfId="0" applyNumberFormat="1" applyFont="1" applyAlignment="1">
      <alignment horizontal="center" vertical="center" wrapText="1"/>
    </xf>
    <xf numFmtId="0" fontId="30" fillId="0" borderId="0" xfId="0" applyNumberFormat="1" applyFont="1" applyAlignment="1">
      <alignment vertical="center"/>
    </xf>
    <xf numFmtId="164" fontId="6" fillId="0" borderId="3" xfId="0" applyNumberFormat="1" applyFont="1" applyBorder="1" applyAlignment="1">
      <alignment horizontal="center" vertical="center" wrapText="1"/>
    </xf>
    <xf numFmtId="49" fontId="30"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30" fillId="10" borderId="11" xfId="0" applyNumberFormat="1" applyFont="1" applyFill="1" applyBorder="1" applyAlignment="1">
      <alignment horizontal="left" vertical="center" wrapText="1"/>
    </xf>
    <xf numFmtId="0" fontId="19" fillId="0" borderId="0" xfId="0" applyNumberFormat="1" applyFont="1" applyAlignment="1">
      <alignment horizontal="center" vertical="center" wrapText="1"/>
    </xf>
    <xf numFmtId="49" fontId="33" fillId="10" borderId="6" xfId="0" applyNumberFormat="1" applyFont="1" applyFill="1" applyBorder="1" applyAlignment="1">
      <alignment horizontal="right" vertical="center" wrapText="1"/>
    </xf>
    <xf numFmtId="49" fontId="6" fillId="10" borderId="6" xfId="0" applyNumberFormat="1" applyFont="1" applyFill="1" applyBorder="1" applyAlignment="1">
      <alignment horizontal="right" vertical="center" wrapText="1"/>
    </xf>
    <xf numFmtId="49" fontId="6" fillId="10" borderId="4" xfId="0" applyNumberFormat="1" applyFont="1" applyFill="1" applyBorder="1" applyAlignment="1">
      <alignment horizontal="right" vertical="center" wrapText="1"/>
    </xf>
    <xf numFmtId="0" fontId="6" fillId="0" borderId="12" xfId="0" applyNumberFormat="1" applyFont="1" applyBorder="1" applyAlignment="1">
      <alignment vertical="center" wrapText="1"/>
    </xf>
    <xf numFmtId="0" fontId="28" fillId="0" borderId="0" xfId="0" applyNumberFormat="1" applyFont="1" applyAlignment="1">
      <alignment vertical="center" wrapText="1"/>
    </xf>
    <xf numFmtId="0" fontId="34" fillId="0" borderId="0" xfId="0" applyNumberFormat="1" applyFont="1" applyAlignment="1">
      <alignment horizontal="center" vertical="center" wrapText="1"/>
    </xf>
    <xf numFmtId="49" fontId="0" fillId="8" borderId="0" xfId="0" applyNumberFormat="1" applyFont="1" applyFill="1">
      <alignment vertical="top"/>
    </xf>
    <xf numFmtId="49" fontId="35" fillId="11" borderId="0" xfId="0" applyNumberFormat="1" applyFont="1" applyFill="1">
      <alignment vertical="top"/>
    </xf>
    <xf numFmtId="49" fontId="35" fillId="0" borderId="0" xfId="0" applyNumberFormat="1" applyFont="1">
      <alignment vertical="top"/>
    </xf>
    <xf numFmtId="0" fontId="30"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3" fillId="0" borderId="2" xfId="0" applyNumberFormat="1" applyFont="1" applyBorder="1" applyAlignment="1">
      <alignment vertical="center" wrapText="1"/>
    </xf>
    <xf numFmtId="0" fontId="29" fillId="0" borderId="0" xfId="0" applyNumberFormat="1" applyFont="1" applyAlignment="1">
      <alignment vertical="top" wrapText="1"/>
    </xf>
    <xf numFmtId="0" fontId="6" fillId="0" borderId="2" xfId="0" applyNumberFormat="1" applyFont="1" applyBorder="1" applyAlignment="1">
      <alignment vertical="center" wrapText="1"/>
    </xf>
    <xf numFmtId="49" fontId="6" fillId="0" borderId="0" xfId="0" applyNumberFormat="1" applyFont="1">
      <alignment vertical="top"/>
    </xf>
    <xf numFmtId="0" fontId="6"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1"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3" fillId="10" borderId="6" xfId="0" applyNumberFormat="1" applyFont="1" applyFill="1" applyBorder="1" applyAlignment="1">
      <alignment horizontal="left" vertical="center" indent="3"/>
    </xf>
    <xf numFmtId="49" fontId="27" fillId="10" borderId="4" xfId="0" applyNumberFormat="1" applyFont="1" applyFill="1" applyBorder="1" applyAlignment="1">
      <alignment horizontal="center" vertical="top"/>
    </xf>
    <xf numFmtId="0" fontId="29" fillId="0" borderId="0" xfId="0" applyNumberFormat="1" applyFont="1" applyAlignment="1">
      <alignment horizontal="right" vertical="top" wrapText="1"/>
    </xf>
    <xf numFmtId="49" fontId="23" fillId="10" borderId="6" xfId="0" applyNumberFormat="1" applyFont="1" applyFill="1" applyBorder="1" applyAlignment="1">
      <alignment horizontal="left" vertical="center" indent="1"/>
    </xf>
    <xf numFmtId="49" fontId="23"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6" fillId="13" borderId="3" xfId="0" applyNumberFormat="1" applyFont="1" applyFill="1" applyBorder="1" applyAlignment="1">
      <alignment horizontal="left" vertical="center" wrapText="1"/>
    </xf>
    <xf numFmtId="0" fontId="6" fillId="0" borderId="3" xfId="0" applyNumberFormat="1" applyFont="1" applyBorder="1" applyAlignment="1">
      <alignment vertical="top" wrapText="1"/>
    </xf>
    <xf numFmtId="0" fontId="20" fillId="0" borderId="0" xfId="0" applyNumberFormat="1" applyFont="1" applyAlignment="1">
      <alignment horizontal="center" vertical="center" wrapText="1"/>
    </xf>
    <xf numFmtId="49" fontId="0" fillId="0" borderId="8" xfId="0" applyNumberFormat="1" applyFont="1" applyBorder="1">
      <alignment vertical="top"/>
    </xf>
    <xf numFmtId="0" fontId="31" fillId="0" borderId="0" xfId="0" applyNumberFormat="1" applyFont="1" applyAlignment="1">
      <alignment vertical="center"/>
    </xf>
    <xf numFmtId="0" fontId="14" fillId="0" borderId="0" xfId="0" applyNumberFormat="1" applyFont="1" applyAlignment="1">
      <alignment vertical="center"/>
    </xf>
    <xf numFmtId="49" fontId="36" fillId="12" borderId="3" xfId="0" applyNumberFormat="1" applyFont="1" applyFill="1" applyBorder="1" applyAlignment="1" applyProtection="1">
      <alignment horizontal="left" vertical="center" wrapText="1"/>
      <protection locked="0"/>
    </xf>
    <xf numFmtId="49" fontId="27"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6" fillId="12" borderId="3" xfId="0" applyNumberFormat="1" applyFont="1" applyFill="1" applyBorder="1" applyAlignment="1" applyProtection="1">
      <alignment horizontal="left" vertical="center" wrapText="1" indent="1"/>
      <protection locked="0"/>
    </xf>
    <xf numFmtId="49" fontId="6" fillId="7" borderId="3" xfId="0" applyNumberFormat="1" applyFont="1" applyFill="1" applyBorder="1" applyAlignment="1">
      <alignment horizontal="left" vertical="center" wrapText="1" indent="1"/>
    </xf>
    <xf numFmtId="49" fontId="6" fillId="0" borderId="3" xfId="0" applyNumberFormat="1" applyFont="1" applyBorder="1" applyAlignment="1">
      <alignment horizontal="left" vertical="center" wrapText="1" indent="1"/>
    </xf>
    <xf numFmtId="0" fontId="6" fillId="0" borderId="3" xfId="0" applyNumberFormat="1" applyFont="1" applyBorder="1" applyAlignment="1">
      <alignment horizontal="center" vertical="center" wrapText="1"/>
    </xf>
    <xf numFmtId="0" fontId="29" fillId="0" borderId="0" xfId="0" applyNumberFormat="1" applyFont="1" applyAlignment="1">
      <alignment vertical="center" wrapText="1"/>
    </xf>
    <xf numFmtId="0" fontId="31"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9" fillId="0" borderId="6" xfId="0" applyNumberFormat="1" applyFont="1" applyBorder="1" applyAlignment="1">
      <alignment horizontal="center" vertical="center" wrapText="1"/>
    </xf>
    <xf numFmtId="0" fontId="37" fillId="0" borderId="0" xfId="0" applyNumberFormat="1" applyFont="1" applyAlignment="1">
      <alignment vertical="center"/>
    </xf>
    <xf numFmtId="0" fontId="38" fillId="0" borderId="0" xfId="0" applyNumberFormat="1" applyFont="1" applyAlignment="1">
      <alignment vertical="center"/>
    </xf>
    <xf numFmtId="0" fontId="31" fillId="0" borderId="0" xfId="0" applyNumberFormat="1" applyFont="1" applyAlignment="1">
      <alignment vertical="center"/>
    </xf>
    <xf numFmtId="0" fontId="31"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1"/>
    </xf>
    <xf numFmtId="0" fontId="39" fillId="0" borderId="0" xfId="0" applyNumberFormat="1" applyFont="1" applyAlignment="1">
      <alignment horizontal="left" vertical="center" wrapText="1" indent="1"/>
    </xf>
    <xf numFmtId="0" fontId="40" fillId="0" borderId="0" xfId="0" applyNumberFormat="1" applyFont="1" applyAlignment="1">
      <alignment horizontal="left" vertical="center" indent="1"/>
    </xf>
    <xf numFmtId="0" fontId="39" fillId="0" borderId="0" xfId="0" applyNumberFormat="1" applyFont="1" applyAlignment="1">
      <alignment vertical="center" wrapText="1"/>
    </xf>
    <xf numFmtId="0" fontId="41" fillId="0" borderId="0" xfId="0" applyNumberFormat="1" applyFont="1" applyAlignment="1">
      <alignment horizontal="left" vertical="center" wrapText="1"/>
    </xf>
    <xf numFmtId="0" fontId="42" fillId="0" borderId="0" xfId="0" applyNumberFormat="1" applyFont="1" applyAlignment="1">
      <alignment vertical="center" wrapText="1"/>
    </xf>
    <xf numFmtId="0" fontId="43" fillId="8" borderId="0" xfId="0" applyNumberFormat="1" applyFont="1" applyFill="1" applyAlignment="1">
      <alignment vertical="center" wrapText="1"/>
    </xf>
    <xf numFmtId="0" fontId="44" fillId="8" borderId="0" xfId="0" applyNumberFormat="1" applyFont="1" applyFill="1" applyAlignment="1">
      <alignment horizontal="right" vertical="center" wrapText="1" indent="1"/>
    </xf>
    <xf numFmtId="0" fontId="43" fillId="0" borderId="0" xfId="0" applyNumberFormat="1" applyFont="1" applyAlignment="1">
      <alignment vertical="center" wrapText="1"/>
    </xf>
    <xf numFmtId="0" fontId="43" fillId="8" borderId="0" xfId="0" applyNumberFormat="1" applyFont="1" applyFill="1" applyAlignment="1">
      <alignment horizontal="right" vertical="center" wrapText="1" indent="1"/>
    </xf>
    <xf numFmtId="0" fontId="45" fillId="8" borderId="0" xfId="0" applyNumberFormat="1" applyFont="1" applyFill="1" applyAlignment="1">
      <alignment horizontal="center" vertical="center" wrapText="1"/>
    </xf>
    <xf numFmtId="0" fontId="41" fillId="8" borderId="0" xfId="0" applyNumberFormat="1" applyFont="1" applyFill="1" applyAlignment="1">
      <alignment horizontal="center" vertical="center" wrapText="1"/>
    </xf>
    <xf numFmtId="0" fontId="43" fillId="8" borderId="0" xfId="0" applyNumberFormat="1" applyFont="1" applyFill="1" applyAlignment="1">
      <alignment horizontal="left" vertical="center" wrapText="1" indent="1"/>
    </xf>
    <xf numFmtId="0" fontId="46" fillId="0" borderId="0" xfId="0" applyNumberFormat="1" applyFont="1" applyAlignment="1">
      <alignment horizontal="left" vertical="center" wrapText="1"/>
    </xf>
    <xf numFmtId="0" fontId="46" fillId="0" borderId="0" xfId="0" applyNumberFormat="1" applyFont="1" applyAlignment="1">
      <alignment vertical="center" wrapText="1"/>
    </xf>
    <xf numFmtId="0" fontId="43" fillId="0" borderId="0" xfId="0" applyNumberFormat="1" applyFont="1" applyAlignment="1">
      <alignment vertical="center" wrapText="1"/>
    </xf>
    <xf numFmtId="0" fontId="43" fillId="0" borderId="0" xfId="0" applyNumberFormat="1" applyFont="1" applyAlignment="1">
      <alignment horizontal="right" vertical="center"/>
    </xf>
    <xf numFmtId="49" fontId="6" fillId="0" borderId="0" xfId="0" applyNumberFormat="1" applyFont="1" applyAlignment="1">
      <alignment vertical="center" wrapText="1"/>
    </xf>
    <xf numFmtId="0" fontId="0" fillId="0" borderId="0" xfId="0" applyNumberFormat="1" applyFont="1" applyAlignment="1">
      <alignment horizontal="left" vertical="center" indent="1"/>
    </xf>
    <xf numFmtId="0" fontId="31" fillId="0" borderId="0" xfId="0" applyNumberFormat="1" applyFont="1" applyAlignment="1">
      <alignment horizontal="left" vertical="center" indent="1"/>
    </xf>
    <xf numFmtId="0" fontId="31" fillId="0" borderId="0" xfId="0" applyNumberFormat="1" applyFont="1" applyAlignment="1">
      <alignment horizontal="left" vertical="center" indent="1"/>
    </xf>
    <xf numFmtId="0" fontId="31" fillId="0" borderId="13" xfId="0" applyNumberFormat="1" applyFont="1" applyBorder="1" applyAlignment="1">
      <alignment vertical="center"/>
    </xf>
    <xf numFmtId="0" fontId="6"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6" fillId="0" borderId="0" xfId="0" applyNumberFormat="1" applyFont="1">
      <alignment vertical="top"/>
    </xf>
    <xf numFmtId="0" fontId="6" fillId="0" borderId="0" xfId="0" applyNumberFormat="1" applyFont="1" applyAlignment="1">
      <alignment horizontal="left" vertical="center" wrapText="1" indent="2"/>
    </xf>
    <xf numFmtId="0" fontId="6"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6" fillId="0" borderId="3" xfId="0" applyNumberFormat="1" applyFont="1" applyBorder="1" applyAlignment="1">
      <alignment horizontal="left" vertical="top" wrapText="1"/>
    </xf>
    <xf numFmtId="0" fontId="6" fillId="0" borderId="3" xfId="0" applyNumberFormat="1" applyFont="1" applyBorder="1" applyAlignment="1">
      <alignment horizontal="left" vertical="center" wrapText="1"/>
    </xf>
    <xf numFmtId="0" fontId="6" fillId="0" borderId="3" xfId="0" applyNumberFormat="1" applyFont="1" applyBorder="1" applyAlignment="1">
      <alignment horizontal="center" vertical="center" wrapText="1"/>
    </xf>
    <xf numFmtId="49" fontId="6" fillId="0" borderId="8" xfId="0" applyNumberFormat="1" applyFont="1" applyBorder="1" applyAlignment="1">
      <alignment horizontal="left" vertical="center" wrapText="1"/>
    </xf>
    <xf numFmtId="49" fontId="33" fillId="10" borderId="5" xfId="0" applyNumberFormat="1" applyFont="1" applyFill="1" applyBorder="1" applyAlignment="1">
      <alignment horizontal="center" vertical="center"/>
    </xf>
    <xf numFmtId="49" fontId="23" fillId="10" borderId="4" xfId="0" applyNumberFormat="1" applyFont="1" applyFill="1" applyBorder="1" applyAlignment="1">
      <alignment horizontal="left" vertical="center"/>
    </xf>
    <xf numFmtId="0" fontId="6" fillId="0" borderId="0" xfId="0" applyNumberFormat="1" applyFont="1" applyAlignment="1"/>
    <xf numFmtId="0" fontId="47" fillId="0" borderId="0" xfId="0" applyNumberFormat="1" applyFont="1" applyAlignment="1">
      <alignment vertical="center" wrapText="1"/>
    </xf>
    <xf numFmtId="0" fontId="47" fillId="0" borderId="0" xfId="0" applyNumberFormat="1" applyFont="1" applyAlignment="1">
      <alignment vertical="center" wrapText="1"/>
    </xf>
    <xf numFmtId="0" fontId="47" fillId="0" borderId="0" xfId="0" applyNumberFormat="1" applyFont="1" applyAlignment="1"/>
    <xf numFmtId="49" fontId="48" fillId="0" borderId="0" xfId="0" applyNumberFormat="1" applyFont="1">
      <alignment vertical="top"/>
    </xf>
    <xf numFmtId="49" fontId="49" fillId="0" borderId="0" xfId="0" applyNumberFormat="1" applyFont="1">
      <alignment vertical="top"/>
    </xf>
    <xf numFmtId="0" fontId="6" fillId="0" borderId="0" xfId="0" applyNumberFormat="1" applyFont="1" applyAlignment="1">
      <alignment horizontal="center" vertical="center" wrapText="1"/>
    </xf>
    <xf numFmtId="49" fontId="6" fillId="12" borderId="3" xfId="0" applyNumberFormat="1" applyFont="1" applyFill="1" applyBorder="1" applyAlignment="1" applyProtection="1">
      <alignment horizontal="left" vertical="center" wrapText="1" indent="1"/>
      <protection locked="0"/>
    </xf>
    <xf numFmtId="0" fontId="31" fillId="0" borderId="0" xfId="0" applyNumberFormat="1" applyFont="1">
      <alignment vertical="top"/>
    </xf>
    <xf numFmtId="49" fontId="31" fillId="0" borderId="0" xfId="0" applyNumberFormat="1" applyFont="1">
      <alignment vertical="top"/>
    </xf>
    <xf numFmtId="0" fontId="0" fillId="0" borderId="0" xfId="0" applyNumberFormat="1" applyFont="1">
      <alignment vertical="top"/>
    </xf>
    <xf numFmtId="49" fontId="6" fillId="0" borderId="3" xfId="0" applyNumberFormat="1" applyFont="1" applyBorder="1" applyAlignment="1">
      <alignment horizontal="right" vertical="center"/>
    </xf>
    <xf numFmtId="0" fontId="50" fillId="0" borderId="0" xfId="0" applyNumberFormat="1" applyFont="1" applyAlignment="1">
      <alignment vertical="center"/>
    </xf>
    <xf numFmtId="0" fontId="31" fillId="0" borderId="0" xfId="0" applyNumberFormat="1" applyFont="1" applyAlignment="1">
      <alignment vertical="center"/>
    </xf>
    <xf numFmtId="0" fontId="31" fillId="0" borderId="0" xfId="0" applyNumberFormat="1" applyFont="1" applyAlignment="1">
      <alignment vertical="center" wrapText="1"/>
    </xf>
    <xf numFmtId="0" fontId="6" fillId="0" borderId="3" xfId="0" applyNumberFormat="1" applyFont="1" applyBorder="1" applyAlignment="1">
      <alignment horizontal="left" vertical="center" wrapText="1"/>
    </xf>
    <xf numFmtId="0" fontId="51" fillId="0" borderId="0" xfId="0" applyNumberFormat="1" applyFont="1" applyAlignment="1">
      <alignment vertical="center"/>
    </xf>
    <xf numFmtId="49" fontId="19" fillId="8" borderId="0" xfId="0" applyNumberFormat="1" applyFont="1" applyFill="1" applyAlignment="1">
      <alignment horizontal="center" vertical="center" wrapText="1"/>
    </xf>
    <xf numFmtId="0" fontId="0" fillId="0" borderId="0" xfId="0" applyNumberFormat="1" applyFont="1" applyAlignment="1">
      <alignment vertical="center"/>
    </xf>
    <xf numFmtId="0" fontId="6" fillId="0" borderId="3" xfId="0" applyNumberFormat="1" applyFont="1" applyBorder="1" applyAlignment="1">
      <alignment horizontal="center" vertical="center" wrapText="1"/>
    </xf>
    <xf numFmtId="49" fontId="6" fillId="0" borderId="3" xfId="0" applyNumberFormat="1" applyFont="1" applyBorder="1" applyAlignment="1">
      <alignment horizontal="center" vertical="center" wrapText="1"/>
    </xf>
    <xf numFmtId="0" fontId="6" fillId="8" borderId="3" xfId="0" applyNumberFormat="1" applyFont="1" applyFill="1" applyBorder="1" applyAlignment="1">
      <alignment horizontal="left" vertical="center" wrapText="1" indent="4"/>
    </xf>
    <xf numFmtId="0" fontId="6" fillId="8" borderId="3" xfId="0" applyNumberFormat="1" applyFont="1" applyFill="1" applyBorder="1" applyAlignment="1">
      <alignment horizontal="left" vertical="center" wrapText="1" indent="5"/>
    </xf>
    <xf numFmtId="49" fontId="23" fillId="10" borderId="6" xfId="0" applyNumberFormat="1" applyFont="1" applyFill="1" applyBorder="1" applyAlignment="1">
      <alignment horizontal="left" vertical="center" indent="5"/>
    </xf>
    <xf numFmtId="49" fontId="23" fillId="10" borderId="6" xfId="0" applyNumberFormat="1" applyFont="1" applyFill="1" applyBorder="1" applyAlignment="1">
      <alignment horizontal="left" vertical="center" indent="6"/>
    </xf>
    <xf numFmtId="0" fontId="6" fillId="0" borderId="3" xfId="0" applyNumberFormat="1" applyFont="1" applyBorder="1" applyAlignment="1">
      <alignment vertical="center" wrapText="1"/>
    </xf>
    <xf numFmtId="0" fontId="29" fillId="0" borderId="0" xfId="0" applyNumberFormat="1" applyFont="1" applyAlignment="1">
      <alignment vertical="center" wrapText="1"/>
    </xf>
    <xf numFmtId="0" fontId="52" fillId="8" borderId="0" xfId="0" applyNumberFormat="1" applyFont="1" applyFill="1" applyAlignment="1">
      <alignment vertical="center" wrapText="1"/>
    </xf>
    <xf numFmtId="49" fontId="6" fillId="0" borderId="3" xfId="0" applyNumberFormat="1" applyFont="1" applyBorder="1" applyAlignment="1">
      <alignment horizontal="center" vertical="center" wrapText="1"/>
    </xf>
    <xf numFmtId="49" fontId="0" fillId="0" borderId="0" xfId="0" applyNumberFormat="1" applyFont="1">
      <alignment vertical="top"/>
    </xf>
    <xf numFmtId="49" fontId="23"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6" fillId="0" borderId="3" xfId="0" applyNumberFormat="1" applyFont="1" applyBorder="1" applyAlignment="1">
      <alignment vertical="top" wrapText="1"/>
    </xf>
    <xf numFmtId="0" fontId="6" fillId="0" borderId="3" xfId="0" applyNumberFormat="1" applyFont="1" applyBorder="1" applyAlignment="1">
      <alignment vertical="center" wrapText="1"/>
    </xf>
    <xf numFmtId="0" fontId="50" fillId="0" borderId="0" xfId="0" applyNumberFormat="1" applyFont="1" applyAlignment="1">
      <alignment vertical="center"/>
    </xf>
    <xf numFmtId="0" fontId="6" fillId="0" borderId="3" xfId="0" applyNumberFormat="1" applyFont="1" applyBorder="1" applyAlignment="1">
      <alignment horizontal="left" vertical="center" wrapText="1" indent="6"/>
    </xf>
    <xf numFmtId="0" fontId="6" fillId="0" borderId="8" xfId="0" applyNumberFormat="1" applyFont="1" applyBorder="1" applyAlignment="1">
      <alignment vertical="center" wrapText="1"/>
    </xf>
    <xf numFmtId="0" fontId="6"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5" fillId="0" borderId="0" xfId="0" applyNumberFormat="1" applyFont="1">
      <alignment vertical="top"/>
    </xf>
    <xf numFmtId="0" fontId="22" fillId="8" borderId="0" xfId="0" applyNumberFormat="1" applyFont="1" applyFill="1" applyAlignment="1">
      <alignment vertical="center" wrapText="1"/>
    </xf>
    <xf numFmtId="0" fontId="6" fillId="8" borderId="3" xfId="0" applyNumberFormat="1" applyFont="1" applyFill="1" applyBorder="1" applyAlignment="1">
      <alignment horizontal="left" vertical="center" wrapText="1" indent="1"/>
    </xf>
    <xf numFmtId="0" fontId="6" fillId="8" borderId="3" xfId="0" applyNumberFormat="1" applyFont="1" applyFill="1" applyBorder="1" applyAlignment="1">
      <alignment horizontal="left" vertical="center" wrapText="1" indent="2"/>
    </xf>
    <xf numFmtId="0" fontId="6" fillId="8" borderId="3" xfId="0" applyNumberFormat="1" applyFont="1" applyFill="1" applyBorder="1" applyAlignment="1">
      <alignment horizontal="left" vertical="center" wrapText="1" indent="3"/>
    </xf>
    <xf numFmtId="0" fontId="6" fillId="0" borderId="3" xfId="0" applyNumberFormat="1" applyFont="1" applyBorder="1" applyAlignment="1">
      <alignment horizontal="left" vertical="center" wrapText="1" indent="4"/>
    </xf>
    <xf numFmtId="49" fontId="23" fillId="10" borderId="5" xfId="0" applyNumberFormat="1" applyFont="1" applyFill="1" applyBorder="1" applyAlignment="1">
      <alignment vertical="center" wrapText="1"/>
    </xf>
    <xf numFmtId="49" fontId="23" fillId="10" borderId="6" xfId="0" applyNumberFormat="1" applyFont="1" applyFill="1" applyBorder="1" applyAlignment="1">
      <alignment vertical="center"/>
    </xf>
    <xf numFmtId="49" fontId="23" fillId="10" borderId="6" xfId="0" applyNumberFormat="1" applyFont="1" applyFill="1" applyBorder="1" applyAlignment="1">
      <alignment vertical="center" wrapText="1"/>
    </xf>
    <xf numFmtId="0" fontId="6" fillId="0" borderId="0" xfId="0" applyNumberFormat="1" applyFont="1" applyAlignment="1">
      <alignment vertical="top" wrapText="1"/>
    </xf>
    <xf numFmtId="49" fontId="23" fillId="10" borderId="5" xfId="0" applyNumberFormat="1" applyFont="1" applyFill="1" applyBorder="1" applyAlignment="1">
      <alignment horizontal="left" vertical="center"/>
    </xf>
    <xf numFmtId="0" fontId="23" fillId="10" borderId="5" xfId="0" applyNumberFormat="1" applyFont="1" applyFill="1" applyBorder="1" applyAlignment="1">
      <alignment horizontal="left" vertical="center"/>
    </xf>
    <xf numFmtId="0" fontId="23" fillId="10" borderId="6" xfId="0" applyNumberFormat="1" applyFont="1" applyFill="1" applyBorder="1" applyAlignment="1">
      <alignment horizontal="left" vertical="center"/>
    </xf>
    <xf numFmtId="0" fontId="23"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3" fillId="8" borderId="0" xfId="0" applyNumberFormat="1" applyFont="1" applyFill="1" applyAlignment="1">
      <alignment horizontal="center" vertical="center" wrapText="1"/>
    </xf>
    <xf numFmtId="0" fontId="6" fillId="0" borderId="0" xfId="0" applyNumberFormat="1" applyFont="1" applyAlignment="1">
      <alignment vertical="center" wrapText="1"/>
    </xf>
    <xf numFmtId="49" fontId="6" fillId="10" borderId="4" xfId="0" applyNumberFormat="1" applyFont="1" applyFill="1" applyBorder="1" applyAlignment="1">
      <alignment horizontal="center" vertical="center" wrapText="1"/>
    </xf>
    <xf numFmtId="4" fontId="6" fillId="0" borderId="3" xfId="0" applyNumberFormat="1" applyFont="1" applyBorder="1" applyAlignment="1">
      <alignment horizontal="righ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4" fontId="31"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3" fillId="0" borderId="5" xfId="0" applyNumberFormat="1" applyFont="1" applyBorder="1" applyAlignment="1">
      <alignment horizontal="left" vertical="center" wrapText="1"/>
    </xf>
    <xf numFmtId="0" fontId="50" fillId="0" borderId="3" xfId="0" applyNumberFormat="1" applyFont="1" applyBorder="1" applyAlignment="1">
      <alignment horizontal="left" vertical="center" wrapText="1" indent="2"/>
    </xf>
    <xf numFmtId="49" fontId="50" fillId="0" borderId="3" xfId="0" applyNumberFormat="1" applyFont="1" applyBorder="1" applyAlignment="1">
      <alignment horizontal="center" vertical="center" wrapText="1"/>
    </xf>
    <xf numFmtId="0" fontId="54" fillId="0" borderId="0" xfId="0" applyNumberFormat="1" applyFont="1" applyAlignment="1">
      <alignment vertical="center" wrapText="1"/>
    </xf>
    <xf numFmtId="0" fontId="6" fillId="0" borderId="0" xfId="0" applyNumberFormat="1" applyFont="1">
      <alignment vertical="top"/>
    </xf>
    <xf numFmtId="0" fontId="6" fillId="0" borderId="0" xfId="0" applyNumberFormat="1" applyFont="1" applyAlignment="1">
      <alignment horizontal="right" vertical="top" wrapText="1"/>
    </xf>
    <xf numFmtId="0" fontId="6" fillId="0" borderId="8" xfId="0" applyNumberFormat="1" applyFont="1" applyBorder="1" applyAlignment="1">
      <alignment vertical="center" wrapText="1"/>
    </xf>
    <xf numFmtId="49" fontId="27" fillId="10" borderId="6" xfId="0" applyNumberFormat="1" applyFont="1" applyFill="1" applyBorder="1" applyAlignment="1">
      <alignment horizontal="center" vertical="top"/>
    </xf>
    <xf numFmtId="0" fontId="6"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6" fillId="0" borderId="8" xfId="0" applyNumberFormat="1" applyFont="1" applyBorder="1" applyAlignment="1">
      <alignment vertical="top" wrapText="1"/>
    </xf>
    <xf numFmtId="0" fontId="6" fillId="0" borderId="0" xfId="0" applyNumberFormat="1" applyFont="1" applyAlignment="1">
      <alignment vertical="center" wrapText="1"/>
    </xf>
    <xf numFmtId="49" fontId="6" fillId="0" borderId="0" xfId="0" applyNumberFormat="1" applyFont="1">
      <alignment vertical="top"/>
    </xf>
    <xf numFmtId="0" fontId="22" fillId="0" borderId="0" xfId="0" applyNumberFormat="1" applyFont="1" applyAlignment="1">
      <alignment vertical="center" wrapText="1"/>
    </xf>
    <xf numFmtId="0" fontId="6" fillId="0" borderId="3" xfId="0" applyNumberFormat="1" applyFont="1" applyBorder="1" applyAlignment="1">
      <alignment vertical="center" wrapText="1"/>
    </xf>
    <xf numFmtId="49" fontId="6" fillId="0" borderId="0" xfId="0" applyNumberFormat="1" applyFont="1" applyAlignment="1">
      <alignment horizontal="center" vertical="center" wrapText="1"/>
    </xf>
    <xf numFmtId="0" fontId="6" fillId="10" borderId="5" xfId="0" applyNumberFormat="1" applyFont="1" applyFill="1" applyBorder="1" applyAlignment="1">
      <alignment vertical="center" wrapText="1"/>
    </xf>
    <xf numFmtId="49" fontId="23" fillId="10" borderId="6" xfId="0" applyNumberFormat="1" applyFont="1" applyFill="1" applyBorder="1" applyAlignment="1">
      <alignment horizontal="left" vertical="center" indent="2"/>
    </xf>
    <xf numFmtId="0" fontId="31" fillId="0" borderId="0" xfId="0" applyNumberFormat="1" applyFont="1" applyAlignment="1">
      <alignment vertical="center"/>
    </xf>
    <xf numFmtId="0" fontId="55" fillId="0" borderId="0" xfId="0" applyNumberFormat="1" applyFont="1" applyAlignment="1">
      <alignment vertical="center" wrapText="1"/>
    </xf>
    <xf numFmtId="0" fontId="25" fillId="8" borderId="0" xfId="0" applyNumberFormat="1" applyFont="1" applyFill="1" applyAlignment="1">
      <alignment horizontal="center" vertical="center" wrapText="1"/>
    </xf>
    <xf numFmtId="0" fontId="6" fillId="0" borderId="15" xfId="0" applyNumberFormat="1" applyFont="1" applyBorder="1" applyAlignment="1">
      <alignment vertical="center" wrapText="1"/>
    </xf>
    <xf numFmtId="0" fontId="20" fillId="0" borderId="0" xfId="0" applyNumberFormat="1" applyFont="1" applyAlignment="1">
      <alignment vertical="center" wrapText="1"/>
    </xf>
    <xf numFmtId="49" fontId="6" fillId="0" borderId="15" xfId="0" applyNumberFormat="1" applyFont="1" applyBorder="1">
      <alignment vertical="top"/>
    </xf>
    <xf numFmtId="0" fontId="31" fillId="0" borderId="15" xfId="0" applyNumberFormat="1" applyFont="1" applyBorder="1" applyAlignment="1">
      <alignment horizontal="center" vertical="center" wrapText="1"/>
    </xf>
    <xf numFmtId="0" fontId="31" fillId="0" borderId="15" xfId="0" applyNumberFormat="1" applyFont="1" applyBorder="1" applyAlignment="1">
      <alignment vertical="center" wrapText="1"/>
    </xf>
    <xf numFmtId="49" fontId="15" fillId="0" borderId="0" xfId="0" applyNumberFormat="1" applyFont="1">
      <alignment vertical="top"/>
    </xf>
    <xf numFmtId="49" fontId="0" fillId="0" borderId="15" xfId="0" applyNumberFormat="1" applyFont="1" applyBorder="1">
      <alignment vertical="top"/>
    </xf>
    <xf numFmtId="49" fontId="6" fillId="0" borderId="0" xfId="0" applyNumberFormat="1" applyFont="1">
      <alignment vertical="top"/>
    </xf>
    <xf numFmtId="49" fontId="6" fillId="0" borderId="0" xfId="0" applyNumberFormat="1" applyFont="1" applyAlignment="1">
      <alignment vertical="center" wrapText="1"/>
    </xf>
    <xf numFmtId="0" fontId="15" fillId="0" borderId="0" xfId="0" applyNumberFormat="1" applyFont="1" applyAlignment="1">
      <alignment vertical="center" wrapText="1"/>
    </xf>
    <xf numFmtId="0" fontId="6" fillId="8" borderId="0" xfId="0" applyNumberFormat="1" applyFont="1" applyFill="1" applyAlignment="1">
      <alignment vertical="center" wrapText="1"/>
    </xf>
    <xf numFmtId="49" fontId="6" fillId="0" borderId="0" xfId="0" applyNumberFormat="1" applyFont="1" applyAlignment="1">
      <alignment vertical="center" wrapText="1"/>
    </xf>
    <xf numFmtId="49" fontId="23"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0" fontId="31" fillId="0" borderId="0" xfId="0" applyNumberFormat="1" applyFont="1" applyAlignment="1">
      <alignment vertical="center"/>
    </xf>
    <xf numFmtId="0" fontId="6" fillId="0" borderId="0" xfId="0" applyNumberFormat="1" applyFont="1" applyAlignment="1">
      <alignment vertical="top" wrapText="1"/>
    </xf>
    <xf numFmtId="49" fontId="6" fillId="0" borderId="3" xfId="0" applyNumberFormat="1" applyFont="1" applyBorder="1" applyAlignment="1">
      <alignment horizontal="right" vertical="top"/>
    </xf>
    <xf numFmtId="49" fontId="6" fillId="0" borderId="8" xfId="0" applyNumberFormat="1" applyFont="1" applyBorder="1" applyAlignment="1">
      <alignment horizontal="right" vertical="top"/>
    </xf>
    <xf numFmtId="49" fontId="23" fillId="10" borderId="6" xfId="0" applyNumberFormat="1" applyFont="1" applyFill="1" applyBorder="1" applyAlignment="1">
      <alignment horizontal="left" vertical="center" indent="3"/>
    </xf>
    <xf numFmtId="49" fontId="0" fillId="0" borderId="0" xfId="0" applyNumberFormat="1" applyFont="1">
      <alignment vertical="top"/>
    </xf>
    <xf numFmtId="0" fontId="6" fillId="0" borderId="0" xfId="0" applyNumberFormat="1" applyFont="1" applyAlignment="1">
      <alignment vertical="center" wrapText="1"/>
    </xf>
    <xf numFmtId="49" fontId="22" fillId="0" borderId="0" xfId="0" applyNumberFormat="1" applyFont="1">
      <alignment vertical="top"/>
    </xf>
    <xf numFmtId="0" fontId="22" fillId="8" borderId="0" xfId="0" applyNumberFormat="1" applyFont="1" applyFill="1" applyAlignment="1">
      <alignment vertical="center" wrapText="1"/>
    </xf>
    <xf numFmtId="49" fontId="6" fillId="12" borderId="3" xfId="0" applyNumberFormat="1" applyFont="1" applyFill="1" applyBorder="1" applyAlignment="1" applyProtection="1">
      <alignment horizontal="left" vertical="center" wrapText="1"/>
      <protection locked="0"/>
    </xf>
    <xf numFmtId="49" fontId="6" fillId="9" borderId="3" xfId="0" applyNumberFormat="1" applyFont="1" applyFill="1" applyBorder="1" applyAlignment="1" applyProtection="1">
      <alignment horizontal="left" vertical="center" wrapText="1"/>
      <protection locked="0"/>
    </xf>
    <xf numFmtId="49" fontId="31" fillId="0" borderId="0" xfId="0" applyNumberFormat="1" applyFont="1">
      <alignment vertical="top"/>
    </xf>
    <xf numFmtId="49" fontId="31" fillId="0" borderId="0" xfId="0" applyNumberFormat="1" applyFont="1">
      <alignment vertical="top"/>
    </xf>
    <xf numFmtId="49" fontId="6" fillId="12" borderId="3" xfId="0" applyNumberFormat="1" applyFont="1" applyFill="1" applyBorder="1" applyAlignment="1" applyProtection="1">
      <alignment horizontal="left" vertical="center" wrapText="1"/>
      <protection locked="0"/>
    </xf>
    <xf numFmtId="49" fontId="36"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6" fillId="0" borderId="3" xfId="0" applyNumberFormat="1" applyFont="1" applyBorder="1" applyAlignment="1">
      <alignment horizontal="right" vertical="center" wrapText="1"/>
    </xf>
    <xf numFmtId="49" fontId="36" fillId="12" borderId="5" xfId="0" applyNumberFormat="1" applyFont="1" applyFill="1" applyBorder="1" applyAlignment="1" applyProtection="1">
      <alignment horizontal="left" vertical="center" wrapText="1"/>
      <protection locked="0"/>
    </xf>
    <xf numFmtId="0" fontId="6" fillId="8" borderId="3" xfId="0" applyNumberFormat="1" applyFont="1" applyFill="1" applyBorder="1" applyAlignment="1">
      <alignment horizontal="center" vertical="center" wrapText="1"/>
    </xf>
    <xf numFmtId="0" fontId="20"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6" fillId="8" borderId="0" xfId="0" applyNumberFormat="1" applyFont="1" applyFill="1" applyAlignment="1">
      <alignment horizontal="center" vertical="center" wrapText="1"/>
    </xf>
    <xf numFmtId="0" fontId="33" fillId="0" borderId="0" xfId="0" applyNumberFormat="1" applyFont="1" applyAlignment="1">
      <alignment vertical="top" wrapText="1"/>
    </xf>
    <xf numFmtId="0" fontId="6"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6" fillId="0" borderId="0" xfId="0" applyNumberFormat="1" applyFont="1" applyAlignment="1">
      <alignment horizontal="left" vertical="center" wrapText="1" indent="4"/>
    </xf>
    <xf numFmtId="0" fontId="6" fillId="8" borderId="0" xfId="0" applyNumberFormat="1" applyFont="1" applyFill="1" applyAlignment="1">
      <alignment horizontal="center" vertical="center" wrapText="1"/>
    </xf>
    <xf numFmtId="49" fontId="23" fillId="10" borderId="6" xfId="0" applyNumberFormat="1" applyFont="1" applyFill="1" applyBorder="1" applyAlignment="1">
      <alignment horizontal="left" vertical="center"/>
    </xf>
    <xf numFmtId="0" fontId="6" fillId="0" borderId="10" xfId="0" applyNumberFormat="1" applyFont="1" applyBorder="1" applyAlignment="1">
      <alignment vertical="center" wrapText="1"/>
    </xf>
    <xf numFmtId="0" fontId="6" fillId="0" borderId="0" xfId="0" applyNumberFormat="1" applyFont="1" applyAlignment="1">
      <alignment horizontal="left" vertical="center" wrapText="1" indent="1"/>
    </xf>
    <xf numFmtId="0" fontId="54"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3" fillId="10" borderId="18" xfId="0" applyNumberFormat="1" applyFont="1" applyFill="1" applyBorder="1" applyAlignment="1">
      <alignment horizontal="left" vertical="center" indent="2"/>
    </xf>
    <xf numFmtId="49" fontId="36" fillId="9" borderId="3" xfId="0" applyNumberFormat="1" applyFont="1" applyFill="1" applyBorder="1" applyAlignment="1" applyProtection="1">
      <alignment horizontal="left" vertical="center" wrapText="1"/>
      <protection locked="0"/>
    </xf>
    <xf numFmtId="49" fontId="6" fillId="0" borderId="10" xfId="0" applyNumberFormat="1" applyFont="1" applyBorder="1">
      <alignment vertical="top"/>
    </xf>
    <xf numFmtId="49" fontId="56" fillId="10" borderId="4" xfId="0" applyNumberFormat="1" applyFont="1" applyFill="1" applyBorder="1" applyAlignment="1">
      <alignment horizontal="left" vertical="center" indent="1"/>
    </xf>
    <xf numFmtId="49" fontId="56" fillId="10" borderId="6" xfId="0" applyNumberFormat="1" applyFont="1" applyFill="1" applyBorder="1" applyAlignment="1">
      <alignment horizontal="left" vertical="center" indent="1"/>
    </xf>
    <xf numFmtId="49" fontId="33" fillId="10" borderId="5" xfId="0" applyNumberFormat="1" applyFont="1" applyFill="1" applyBorder="1" applyAlignment="1">
      <alignment horizontal="center" vertical="center"/>
    </xf>
    <xf numFmtId="49" fontId="56"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6" fillId="0" borderId="0" xfId="0" applyNumberFormat="1" applyFont="1" applyAlignment="1">
      <alignment vertical="center" wrapText="1"/>
    </xf>
    <xf numFmtId="0" fontId="6" fillId="0" borderId="0" xfId="0" applyNumberFormat="1" applyFont="1" applyAlignment="1">
      <alignment vertical="center" wrapText="1"/>
    </xf>
    <xf numFmtId="0" fontId="17" fillId="8" borderId="0" xfId="0" applyNumberFormat="1" applyFont="1" applyFill="1" applyAlignment="1">
      <alignment vertical="center" wrapText="1"/>
    </xf>
    <xf numFmtId="0" fontId="15" fillId="0" borderId="0" xfId="0" applyNumberFormat="1" applyFont="1" applyAlignment="1">
      <alignment horizontal="center" vertical="center" wrapText="1"/>
    </xf>
    <xf numFmtId="0" fontId="0" fillId="0" borderId="0" xfId="0" applyNumberFormat="1" applyFont="1" applyAlignment="1">
      <alignment vertical="center" wrapText="1"/>
    </xf>
    <xf numFmtId="0" fontId="15"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3" fillId="10" borderId="6" xfId="0" applyNumberFormat="1" applyFont="1" applyFill="1" applyBorder="1" applyAlignment="1">
      <alignment horizontal="left" vertical="center" indent="1"/>
    </xf>
    <xf numFmtId="49" fontId="23" fillId="10" borderId="6" xfId="0" applyNumberFormat="1" applyFont="1" applyFill="1" applyBorder="1" applyAlignment="1">
      <alignment horizontal="left" vertical="center"/>
    </xf>
    <xf numFmtId="0" fontId="30" fillId="0" borderId="0" xfId="0" applyNumberFormat="1" applyFont="1" applyAlignment="1">
      <alignment vertical="center" wrapText="1"/>
    </xf>
    <xf numFmtId="0" fontId="0" fillId="0" borderId="0" xfId="0" applyNumberFormat="1" applyFont="1" applyAlignment="1">
      <alignment vertical="center"/>
    </xf>
    <xf numFmtId="49" fontId="31" fillId="0" borderId="0" xfId="0" applyNumberFormat="1" applyFont="1">
      <alignment vertical="top"/>
    </xf>
    <xf numFmtId="0" fontId="57" fillId="0" borderId="0" xfId="0" applyNumberFormat="1" applyFont="1" applyAlignment="1">
      <alignment vertical="center" wrapText="1"/>
    </xf>
    <xf numFmtId="49" fontId="33" fillId="10" borderId="5" xfId="0" applyNumberFormat="1" applyFont="1" applyFill="1" applyBorder="1" applyAlignment="1">
      <alignment horizontal="right" vertical="center" wrapText="1"/>
    </xf>
    <xf numFmtId="49" fontId="30"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1" fillId="0" borderId="0" xfId="0" applyNumberFormat="1" applyFont="1" applyAlignment="1">
      <alignment horizontal="left" vertical="center" wrapText="1"/>
    </xf>
    <xf numFmtId="0" fontId="42" fillId="0" borderId="0" xfId="0" applyNumberFormat="1" applyFont="1" applyAlignment="1">
      <alignment vertical="center" wrapText="1"/>
    </xf>
    <xf numFmtId="0" fontId="43" fillId="8" borderId="0" xfId="0" applyNumberFormat="1" applyFont="1" applyFill="1" applyAlignment="1">
      <alignment vertical="center" wrapText="1"/>
    </xf>
    <xf numFmtId="0" fontId="44" fillId="8" borderId="0" xfId="0" applyNumberFormat="1" applyFont="1" applyFill="1" applyAlignment="1">
      <alignment horizontal="right" vertical="center" wrapText="1" indent="1"/>
    </xf>
    <xf numFmtId="0" fontId="43"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6" fillId="0" borderId="0" xfId="0" applyNumberFormat="1" applyFont="1" applyAlignment="1">
      <alignment vertical="center" wrapText="1"/>
    </xf>
    <xf numFmtId="49" fontId="19" fillId="8" borderId="0" xfId="0" applyNumberFormat="1" applyFont="1" applyFill="1" applyAlignment="1">
      <alignment horizontal="center" vertical="center" wrapText="1"/>
    </xf>
    <xf numFmtId="0" fontId="15" fillId="0" borderId="0" xfId="0" applyNumberFormat="1" applyFont="1" applyAlignment="1">
      <alignment vertical="center" wrapText="1"/>
    </xf>
    <xf numFmtId="0" fontId="20" fillId="8"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25" fillId="0" borderId="0" xfId="0" applyNumberFormat="1" applyFont="1" applyAlignment="1">
      <alignment vertical="center" wrapText="1"/>
    </xf>
    <xf numFmtId="0" fontId="29" fillId="0" borderId="0" xfId="0" applyNumberFormat="1" applyFont="1" applyAlignment="1">
      <alignment horizontal="center" vertical="center" wrapText="1"/>
    </xf>
    <xf numFmtId="0" fontId="28"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6" fillId="8" borderId="0" xfId="0" applyNumberFormat="1" applyFont="1" applyFill="1" applyAlignment="1">
      <alignment vertical="center" wrapText="1"/>
    </xf>
    <xf numFmtId="0" fontId="58" fillId="8" borderId="0" xfId="0" applyNumberFormat="1" applyFont="1" applyFill="1" applyAlignment="1">
      <alignment horizontal="center"/>
    </xf>
    <xf numFmtId="0" fontId="58" fillId="8" borderId="0" xfId="0" applyNumberFormat="1" applyFont="1" applyFill="1" applyAlignment="1"/>
    <xf numFmtId="0" fontId="59" fillId="8" borderId="0" xfId="0" applyNumberFormat="1" applyFont="1" applyFill="1" applyAlignment="1"/>
    <xf numFmtId="0" fontId="60" fillId="8" borderId="0" xfId="0" applyNumberFormat="1" applyFont="1" applyFill="1" applyAlignment="1">
      <alignment horizontal="right" vertical="center"/>
    </xf>
    <xf numFmtId="0" fontId="60" fillId="8" borderId="0" xfId="0" applyNumberFormat="1" applyFont="1" applyFill="1" applyAlignment="1">
      <alignment horizontal="right" vertical="top"/>
    </xf>
    <xf numFmtId="0" fontId="6" fillId="8" borderId="0" xfId="0" applyNumberFormat="1" applyFont="1" applyFill="1" applyAlignment="1">
      <alignment horizontal="center" vertical="center" wrapText="1"/>
    </xf>
    <xf numFmtId="0" fontId="19" fillId="8" borderId="0" xfId="0" applyNumberFormat="1" applyFont="1" applyFill="1" applyAlignment="1">
      <alignment horizontal="center" vertical="center"/>
    </xf>
    <xf numFmtId="0" fontId="6" fillId="0" borderId="3" xfId="0" applyNumberFormat="1" applyFont="1" applyBorder="1" applyAlignment="1">
      <alignment horizontal="center" vertical="center" wrapText="1"/>
    </xf>
    <xf numFmtId="0" fontId="28" fillId="0" borderId="0" xfId="0" applyNumberFormat="1" applyFont="1" applyAlignment="1">
      <alignment vertical="top" wrapText="1"/>
    </xf>
    <xf numFmtId="0" fontId="6" fillId="10" borderId="5" xfId="0" applyNumberFormat="1" applyFont="1" applyFill="1" applyBorder="1" applyAlignment="1">
      <alignment horizontal="center"/>
    </xf>
    <xf numFmtId="0" fontId="56" fillId="10" borderId="6" xfId="0" applyNumberFormat="1" applyFont="1" applyFill="1" applyBorder="1" applyAlignment="1">
      <alignment horizontal="left" vertical="center"/>
    </xf>
    <xf numFmtId="0" fontId="56" fillId="10" borderId="4" xfId="0" applyNumberFormat="1" applyFont="1" applyFill="1" applyBorder="1" applyAlignment="1">
      <alignment horizontal="left" vertical="center"/>
    </xf>
    <xf numFmtId="0" fontId="61" fillId="8" borderId="0" xfId="0" applyNumberFormat="1" applyFont="1" applyFill="1" applyAlignment="1">
      <alignment vertical="center"/>
    </xf>
    <xf numFmtId="0" fontId="61" fillId="8" borderId="0" xfId="0" applyNumberFormat="1" applyFont="1" applyFill="1" applyAlignment="1">
      <alignment vertical="center" wrapText="1"/>
    </xf>
    <xf numFmtId="49" fontId="6" fillId="8" borderId="3" xfId="0" applyNumberFormat="1" applyFont="1" applyFill="1" applyBorder="1" applyAlignment="1">
      <alignment horizontal="center" vertical="center" wrapText="1"/>
    </xf>
    <xf numFmtId="0" fontId="6" fillId="8" borderId="3" xfId="0" applyNumberFormat="1" applyFont="1" applyFill="1" applyBorder="1" applyAlignment="1">
      <alignment horizontal="center" vertical="center" wrapText="1"/>
    </xf>
    <xf numFmtId="0" fontId="6" fillId="8" borderId="3" xfId="0" applyNumberFormat="1" applyFont="1" applyFill="1" applyBorder="1" applyAlignment="1">
      <alignment vertical="center" wrapText="1"/>
    </xf>
    <xf numFmtId="0" fontId="48" fillId="8" borderId="0" xfId="0" applyNumberFormat="1" applyFont="1" applyFill="1" applyAlignment="1"/>
    <xf numFmtId="0" fontId="35" fillId="8" borderId="0" xfId="0" applyNumberFormat="1" applyFont="1" applyFill="1" applyAlignment="1"/>
    <xf numFmtId="0" fontId="44" fillId="8" borderId="0" xfId="0" applyNumberFormat="1" applyFont="1" applyFill="1" applyAlignment="1"/>
    <xf numFmtId="0" fontId="44" fillId="8" borderId="0" xfId="0" applyNumberFormat="1" applyFont="1" applyFill="1" applyAlignment="1">
      <alignment horizontal="center"/>
    </xf>
    <xf numFmtId="0" fontId="41" fillId="0" borderId="0" xfId="0" applyNumberFormat="1" applyFont="1" applyAlignment="1">
      <alignment vertical="center" wrapText="1"/>
    </xf>
    <xf numFmtId="0" fontId="43" fillId="0" borderId="0" xfId="0" applyNumberFormat="1" applyFont="1" applyAlignment="1">
      <alignment vertical="center" wrapText="1"/>
    </xf>
    <xf numFmtId="0" fontId="43" fillId="8" borderId="0" xfId="0" applyNumberFormat="1" applyFont="1" applyFill="1" applyAlignment="1">
      <alignment vertical="center" wrapText="1"/>
    </xf>
    <xf numFmtId="0" fontId="43" fillId="8" borderId="0" xfId="0" applyNumberFormat="1" applyFont="1" applyFill="1" applyAlignment="1">
      <alignment horizontal="right" vertical="center"/>
    </xf>
    <xf numFmtId="0" fontId="43" fillId="8" borderId="0" xfId="0" applyNumberFormat="1" applyFont="1" applyFill="1" applyAlignment="1">
      <alignment horizontal="right" vertical="center" wrapText="1"/>
    </xf>
    <xf numFmtId="4" fontId="43" fillId="0" borderId="0" xfId="0" applyNumberFormat="1" applyFont="1" applyAlignment="1">
      <alignment horizontal="right" vertical="center" wrapText="1"/>
    </xf>
    <xf numFmtId="0" fontId="43" fillId="0" borderId="0" xfId="0" applyNumberFormat="1" applyFont="1" applyAlignment="1">
      <alignment horizontal="left" vertical="center" wrapText="1" indent="1"/>
    </xf>
    <xf numFmtId="0" fontId="62" fillId="8" borderId="0" xfId="0" applyNumberFormat="1" applyFont="1" applyFill="1" applyAlignment="1">
      <alignment horizontal="center" vertical="center" wrapText="1"/>
    </xf>
    <xf numFmtId="0" fontId="19" fillId="8" borderId="0" xfId="0" applyNumberFormat="1" applyFont="1" applyFill="1" applyAlignment="1">
      <alignment horizontal="center" vertical="center" wrapText="1"/>
    </xf>
    <xf numFmtId="0" fontId="47" fillId="0" borderId="0" xfId="0" applyNumberFormat="1" applyFont="1" applyAlignment="1">
      <alignment vertical="center" wrapText="1"/>
    </xf>
    <xf numFmtId="0" fontId="31" fillId="0" borderId="0" xfId="0" applyNumberFormat="1" applyFont="1" applyAlignment="1">
      <alignment vertical="center" wrapText="1"/>
    </xf>
    <xf numFmtId="49" fontId="6" fillId="13" borderId="3" xfId="0" applyNumberFormat="1" applyFont="1" applyFill="1" applyBorder="1" applyAlignment="1">
      <alignment horizontal="left" vertical="center" wrapText="1"/>
    </xf>
    <xf numFmtId="0" fontId="47" fillId="0" borderId="0" xfId="0" applyNumberFormat="1" applyFont="1" applyAlignment="1">
      <alignment horizontal="center" vertical="center" wrapText="1"/>
    </xf>
    <xf numFmtId="0" fontId="6" fillId="8" borderId="15" xfId="0" applyNumberFormat="1" applyFont="1" applyFill="1" applyBorder="1" applyAlignment="1">
      <alignment vertical="center" wrapText="1"/>
    </xf>
    <xf numFmtId="49" fontId="19" fillId="8" borderId="6" xfId="0" applyNumberFormat="1" applyFont="1" applyFill="1" applyBorder="1" applyAlignment="1">
      <alignment horizontal="center" vertical="center" wrapText="1"/>
    </xf>
    <xf numFmtId="0" fontId="31" fillId="0" borderId="0" xfId="0" applyNumberFormat="1" applyFont="1" applyAlignment="1">
      <alignment horizontal="center" vertical="center" wrapText="1"/>
    </xf>
    <xf numFmtId="0" fontId="62" fillId="0" borderId="0" xfId="0" applyNumberFormat="1" applyFont="1" applyAlignment="1">
      <alignment horizontal="center" vertical="center" wrapText="1"/>
    </xf>
    <xf numFmtId="0" fontId="55" fillId="0" borderId="0" xfId="0" applyNumberFormat="1" applyFont="1" applyAlignment="1">
      <alignment vertical="center" wrapText="1"/>
    </xf>
    <xf numFmtId="49" fontId="55" fillId="0" borderId="3" xfId="0" applyNumberFormat="1" applyFont="1" applyBorder="1" applyAlignment="1">
      <alignment horizontal="left" vertical="center" wrapText="1"/>
    </xf>
    <xf numFmtId="0" fontId="63" fillId="8" borderId="0" xfId="0" applyNumberFormat="1" applyFont="1" applyFill="1" applyAlignment="1">
      <alignment horizontal="center" vertical="center" wrapText="1"/>
    </xf>
    <xf numFmtId="49" fontId="55" fillId="0" borderId="8" xfId="0" applyNumberFormat="1" applyFont="1" applyBorder="1" applyAlignment="1">
      <alignment horizontal="left" vertical="center" wrapText="1"/>
    </xf>
    <xf numFmtId="0" fontId="31" fillId="0" borderId="0" xfId="0" applyNumberFormat="1" applyFont="1" applyAlignment="1">
      <alignment vertical="center"/>
    </xf>
    <xf numFmtId="0" fontId="31" fillId="8" borderId="0" xfId="0" applyNumberFormat="1" applyFont="1" applyFill="1" applyAlignment="1"/>
    <xf numFmtId="0" fontId="31" fillId="8" borderId="0" xfId="0" applyNumberFormat="1" applyFont="1" applyFill="1" applyAlignment="1">
      <alignment vertical="center" wrapText="1"/>
    </xf>
    <xf numFmtId="0" fontId="31" fillId="0" borderId="0" xfId="0" applyNumberFormat="1" applyFont="1" applyAlignment="1">
      <alignment vertical="center" wrapText="1"/>
    </xf>
    <xf numFmtId="49" fontId="6" fillId="0" borderId="0" xfId="0" applyNumberFormat="1" applyFont="1">
      <alignment vertical="top"/>
    </xf>
    <xf numFmtId="0" fontId="6" fillId="0" borderId="0" xfId="0" applyNumberFormat="1" applyFont="1" applyAlignment="1">
      <alignment vertical="center" wrapText="1"/>
    </xf>
    <xf numFmtId="0" fontId="20" fillId="8" borderId="0" xfId="0" applyNumberFormat="1" applyFont="1" applyFill="1" applyAlignment="1">
      <alignment horizontal="center" vertical="center" wrapText="1"/>
    </xf>
    <xf numFmtId="0" fontId="25" fillId="0" borderId="0" xfId="0" applyNumberFormat="1" applyFont="1" applyAlignment="1">
      <alignment vertical="center" wrapText="1"/>
    </xf>
    <xf numFmtId="49" fontId="6" fillId="0" borderId="3" xfId="0" applyNumberFormat="1" applyFont="1" applyBorder="1" applyAlignment="1">
      <alignment horizontal="left" vertical="center" wrapText="1"/>
    </xf>
    <xf numFmtId="0" fontId="6" fillId="0" borderId="0" xfId="0" applyNumberFormat="1" applyFont="1" applyAlignment="1">
      <alignment vertical="center" wrapText="1"/>
    </xf>
    <xf numFmtId="49" fontId="31" fillId="0" borderId="0" xfId="0" applyNumberFormat="1" applyFont="1" applyAlignment="1">
      <alignment vertical="center" wrapText="1"/>
    </xf>
    <xf numFmtId="0" fontId="31" fillId="0" borderId="0" xfId="0" applyNumberFormat="1" applyFont="1" applyAlignment="1">
      <alignment vertical="center" wrapText="1"/>
    </xf>
    <xf numFmtId="0" fontId="6" fillId="0" borderId="3" xfId="0" applyNumberFormat="1" applyFont="1" applyBorder="1" applyAlignment="1">
      <alignment horizontal="center" vertical="center" wrapText="1"/>
    </xf>
    <xf numFmtId="14"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14" fontId="64" fillId="10" borderId="6" xfId="0" applyNumberFormat="1" applyFont="1" applyFill="1" applyBorder="1" applyAlignment="1">
      <alignment horizontal="center" vertical="center" wrapText="1"/>
    </xf>
    <xf numFmtId="0" fontId="31" fillId="0" borderId="0" xfId="0" applyNumberFormat="1" applyFont="1" applyAlignment="1">
      <alignment horizontal="left" vertical="center" wrapText="1"/>
    </xf>
    <xf numFmtId="49" fontId="31" fillId="0" borderId="0" xfId="0" applyNumberFormat="1" applyFont="1" applyAlignment="1">
      <alignment horizontal="left" vertical="center" wrapText="1"/>
    </xf>
    <xf numFmtId="0" fontId="31" fillId="0" borderId="0" xfId="0" applyNumberFormat="1" applyFont="1" applyAlignment="1">
      <alignment vertical="center" wrapText="1"/>
    </xf>
    <xf numFmtId="49" fontId="36" fillId="0" borderId="3" xfId="0" applyNumberFormat="1" applyFont="1" applyBorder="1" applyAlignment="1">
      <alignment horizontal="left" vertical="center" wrapText="1"/>
    </xf>
    <xf numFmtId="14" fontId="6" fillId="13" borderId="3" xfId="0" applyNumberFormat="1" applyFont="1" applyFill="1" applyBorder="1" applyAlignment="1">
      <alignment horizontal="center" vertical="center" wrapText="1"/>
    </xf>
    <xf numFmtId="0" fontId="6" fillId="0" borderId="3"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3" xfId="0" applyNumberFormat="1" applyFont="1" applyBorder="1" applyAlignment="1">
      <alignment horizontal="center" vertical="center" wrapText="1"/>
    </xf>
    <xf numFmtId="49" fontId="6" fillId="13" borderId="3" xfId="0" applyNumberFormat="1" applyFont="1" applyFill="1" applyBorder="1" applyAlignment="1">
      <alignment horizontal="center" vertical="center" wrapText="1"/>
    </xf>
    <xf numFmtId="0" fontId="65"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6"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3" fillId="10" borderId="6" xfId="0" applyNumberFormat="1" applyFont="1" applyFill="1" applyBorder="1" applyAlignment="1">
      <alignment horizontal="center" vertical="center"/>
    </xf>
    <xf numFmtId="0" fontId="16" fillId="0" borderId="0" xfId="0" applyNumberFormat="1" applyFont="1" applyAlignment="1">
      <alignment vertical="center" wrapText="1"/>
    </xf>
    <xf numFmtId="0" fontId="15"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vertical="center" wrapText="1"/>
    </xf>
    <xf numFmtId="0" fontId="30" fillId="0" borderId="0" xfId="0" applyNumberFormat="1" applyFont="1" applyAlignment="1">
      <alignment horizontal="center" vertical="center" wrapText="1"/>
    </xf>
    <xf numFmtId="0" fontId="66" fillId="0" borderId="0" xfId="0" applyNumberFormat="1" applyFont="1" applyAlignment="1">
      <alignmen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vertical="center" wrapText="1"/>
    </xf>
    <xf numFmtId="49" fontId="6" fillId="0" borderId="0" xfId="0" applyNumberFormat="1" applyFont="1" applyAlignment="1">
      <alignment horizontal="center" vertical="top" wrapText="1"/>
    </xf>
    <xf numFmtId="49" fontId="6" fillId="0" borderId="3" xfId="0" applyNumberFormat="1" applyFont="1" applyBorder="1" applyAlignment="1">
      <alignment horizontal="center" vertical="center" wrapText="1"/>
    </xf>
    <xf numFmtId="49" fontId="6" fillId="12" borderId="3" xfId="0" applyNumberFormat="1" applyFont="1" applyFill="1" applyBorder="1" applyAlignment="1" applyProtection="1">
      <alignment vertical="center" wrapText="1"/>
      <protection locked="0"/>
    </xf>
    <xf numFmtId="4" fontId="6" fillId="9" borderId="3" xfId="0" applyNumberFormat="1" applyFont="1" applyFill="1" applyBorder="1" applyAlignment="1" applyProtection="1">
      <alignment horizontal="right" vertical="center" wrapText="1"/>
      <protection locked="0"/>
    </xf>
    <xf numFmtId="0" fontId="6" fillId="0" borderId="4" xfId="0" applyNumberFormat="1" applyFont="1" applyBorder="1" applyAlignment="1">
      <alignment vertical="top" wrapText="1"/>
    </xf>
    <xf numFmtId="0" fontId="67" fillId="0" borderId="0" xfId="0" applyNumberFormat="1" applyFont="1" applyAlignment="1">
      <alignment vertical="center" wrapText="1"/>
    </xf>
    <xf numFmtId="0" fontId="37" fillId="0" borderId="0" xfId="0" applyNumberFormat="1" applyFont="1" applyAlignment="1">
      <alignment vertical="center" wrapText="1"/>
    </xf>
    <xf numFmtId="166" fontId="6" fillId="9" borderId="3" xfId="0" applyNumberFormat="1" applyFont="1" applyFill="1" applyBorder="1" applyAlignment="1" applyProtection="1">
      <alignment horizontal="right" vertical="center" wrapText="1"/>
      <protection locked="0"/>
    </xf>
    <xf numFmtId="0" fontId="6" fillId="0" borderId="19" xfId="0" applyNumberFormat="1" applyFont="1" applyBorder="1" applyAlignment="1">
      <alignment horizontal="center" vertical="center" wrapText="1"/>
    </xf>
    <xf numFmtId="0" fontId="6" fillId="12" borderId="3" xfId="0" applyNumberFormat="1" applyFont="1" applyFill="1" applyBorder="1" applyAlignment="1" applyProtection="1">
      <alignment horizontal="left" vertical="center" wrapText="1" indent="2"/>
      <protection locked="0"/>
    </xf>
    <xf numFmtId="49" fontId="31" fillId="0" borderId="0" xfId="0" applyNumberFormat="1" applyFont="1" applyAlignment="1">
      <alignment horizontal="center" vertical="center" wrapText="1"/>
    </xf>
    <xf numFmtId="0" fontId="31" fillId="0" borderId="19" xfId="0" applyNumberFormat="1" applyFont="1" applyBorder="1" applyAlignment="1">
      <alignment horizontal="center" vertical="center" wrapText="1"/>
    </xf>
    <xf numFmtId="0" fontId="31" fillId="0" borderId="3" xfId="0" applyNumberFormat="1" applyFont="1" applyBorder="1" applyAlignment="1">
      <alignment horizontal="left" vertical="center" wrapText="1" indent="2"/>
    </xf>
    <xf numFmtId="0" fontId="31" fillId="0" borderId="3" xfId="0" applyNumberFormat="1" applyFont="1" applyBorder="1" applyAlignment="1">
      <alignment horizontal="center" vertical="center" wrapText="1"/>
    </xf>
    <xf numFmtId="0" fontId="31" fillId="0" borderId="3" xfId="0" applyNumberFormat="1" applyFont="1" applyBorder="1" applyAlignment="1">
      <alignment vertical="center" wrapText="1"/>
    </xf>
    <xf numFmtId="0" fontId="6" fillId="0" borderId="3" xfId="0" applyNumberFormat="1" applyFont="1" applyBorder="1" applyAlignment="1">
      <alignment horizontal="left" vertical="center" wrapText="1" indent="3"/>
    </xf>
    <xf numFmtId="49" fontId="6" fillId="12" borderId="3" xfId="0" applyNumberFormat="1" applyFont="1" applyFill="1" applyBorder="1" applyAlignment="1" applyProtection="1">
      <alignment horizontal="center" vertical="center" wrapText="1"/>
      <protection locked="0"/>
    </xf>
    <xf numFmtId="0" fontId="6" fillId="9"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wrapText="1"/>
    </xf>
    <xf numFmtId="4" fontId="6" fillId="12" borderId="3" xfId="0" applyNumberFormat="1" applyFont="1" applyFill="1" applyBorder="1" applyAlignment="1" applyProtection="1">
      <alignment horizontal="right" vertical="center" wrapText="1"/>
      <protection locked="0"/>
    </xf>
    <xf numFmtId="4" fontId="6" fillId="7" borderId="3" xfId="0" applyNumberFormat="1" applyFont="1" applyFill="1" applyBorder="1" applyAlignment="1">
      <alignment horizontal="right" vertical="center" wrapText="1"/>
    </xf>
    <xf numFmtId="0" fontId="6" fillId="0" borderId="3" xfId="0" applyNumberFormat="1" applyFont="1" applyBorder="1" applyAlignment="1">
      <alignment horizontal="left" vertical="center" wrapText="1" indent="1"/>
    </xf>
    <xf numFmtId="49" fontId="55" fillId="0" borderId="0" xfId="0" applyNumberFormat="1" applyFont="1" applyAlignment="1">
      <alignment horizontal="center" vertical="center" wrapText="1"/>
    </xf>
    <xf numFmtId="49" fontId="55" fillId="0" borderId="19" xfId="0" applyNumberFormat="1" applyFont="1" applyBorder="1" applyAlignment="1">
      <alignment horizontal="center" vertical="center" wrapText="1"/>
    </xf>
    <xf numFmtId="0" fontId="55" fillId="0" borderId="3" xfId="0" applyNumberFormat="1" applyFont="1" applyBorder="1" applyAlignment="1">
      <alignment horizontal="left" vertical="center" wrapText="1" indent="2"/>
    </xf>
    <xf numFmtId="0" fontId="55" fillId="0" borderId="3" xfId="0" applyNumberFormat="1" applyFont="1" applyBorder="1" applyAlignment="1">
      <alignment horizontal="center" vertical="center" wrapText="1"/>
    </xf>
    <xf numFmtId="0" fontId="55" fillId="0" borderId="3" xfId="0" applyNumberFormat="1" applyFont="1" applyBorder="1" applyAlignment="1">
      <alignment vertical="center" wrapText="1"/>
    </xf>
    <xf numFmtId="0" fontId="68" fillId="0" borderId="0" xfId="0" applyNumberFormat="1" applyFont="1" applyAlignment="1">
      <alignment vertical="center" wrapText="1"/>
    </xf>
    <xf numFmtId="0" fontId="46" fillId="0" borderId="0" xfId="0" applyNumberFormat="1" applyFont="1" applyAlignment="1">
      <alignment vertical="center" wrapText="1"/>
    </xf>
    <xf numFmtId="0" fontId="55" fillId="0" borderId="19" xfId="0" applyNumberFormat="1" applyFont="1" applyBorder="1" applyAlignment="1">
      <alignment horizontal="center" vertical="center" wrapText="1"/>
    </xf>
    <xf numFmtId="0" fontId="55" fillId="0" borderId="3" xfId="0" applyNumberFormat="1" applyFont="1" applyBorder="1" applyAlignment="1">
      <alignment horizontal="left" vertical="center" wrapText="1" indent="3"/>
    </xf>
    <xf numFmtId="4" fontId="55" fillId="0" borderId="3" xfId="0" applyNumberFormat="1" applyFont="1" applyBorder="1" applyAlignment="1">
      <alignment horizontal="right" vertical="center" wrapText="1"/>
    </xf>
    <xf numFmtId="49" fontId="6" fillId="10" borderId="5" xfId="0" applyNumberFormat="1" applyFont="1" applyFill="1" applyBorder="1" applyAlignment="1">
      <alignment vertical="center" wrapText="1"/>
    </xf>
    <xf numFmtId="49" fontId="23" fillId="10" borderId="6" xfId="0" applyNumberFormat="1" applyFont="1" applyFill="1" applyBorder="1" applyAlignment="1">
      <alignment horizontal="left" vertical="center" indent="2"/>
    </xf>
    <xf numFmtId="0" fontId="6" fillId="10" borderId="6" xfId="0" applyNumberFormat="1" applyFont="1" applyFill="1" applyBorder="1" applyAlignment="1">
      <alignment vertical="center" wrapText="1"/>
    </xf>
    <xf numFmtId="0" fontId="30" fillId="10" borderId="4" xfId="0" applyNumberFormat="1" applyFont="1" applyFill="1" applyBorder="1" applyAlignment="1">
      <alignment vertical="center" wrapText="1"/>
    </xf>
    <xf numFmtId="14" fontId="6" fillId="0" borderId="0" xfId="0" applyNumberFormat="1" applyFont="1" applyAlignment="1">
      <alignment horizontal="center" vertical="center" wrapText="1"/>
    </xf>
    <xf numFmtId="49" fontId="33" fillId="0" borderId="0" xfId="0" applyNumberFormat="1" applyFont="1" applyAlignment="1">
      <alignment horizontal="center" vertical="center"/>
    </xf>
    <xf numFmtId="0" fontId="6" fillId="0" borderId="3" xfId="0" applyNumberFormat="1" applyFont="1" applyBorder="1" applyAlignment="1">
      <alignment horizontal="left" vertical="center" wrapText="1" indent="2"/>
    </xf>
    <xf numFmtId="166" fontId="6" fillId="12" borderId="3" xfId="0" applyNumberFormat="1" applyFont="1" applyFill="1" applyBorder="1" applyAlignment="1" applyProtection="1">
      <alignment horizontal="right" vertical="center" wrapText="1"/>
      <protection locked="0"/>
    </xf>
    <xf numFmtId="0" fontId="6" fillId="0" borderId="8" xfId="0" applyNumberFormat="1" applyFont="1" applyBorder="1" applyAlignment="1">
      <alignment horizontal="center" vertical="center" wrapText="1"/>
    </xf>
    <xf numFmtId="4" fontId="6" fillId="7" borderId="8" xfId="0" applyNumberFormat="1" applyFont="1" applyFill="1" applyBorder="1" applyAlignment="1">
      <alignment horizontal="right" vertical="center" wrapText="1"/>
    </xf>
    <xf numFmtId="49" fontId="23" fillId="10" borderId="6" xfId="0" applyNumberFormat="1" applyFont="1" applyFill="1" applyBorder="1" applyAlignment="1">
      <alignment horizontal="left" vertical="center" indent="1"/>
    </xf>
    <xf numFmtId="0" fontId="6" fillId="0" borderId="0" xfId="0" applyNumberFormat="1" applyFont="1" applyAlignment="1">
      <alignment horizontal="left" vertical="center" wrapText="1"/>
    </xf>
    <xf numFmtId="0" fontId="6"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vertical="center"/>
    </xf>
    <xf numFmtId="0" fontId="6" fillId="0" borderId="0" xfId="0" applyNumberFormat="1" applyFont="1" applyAlignment="1">
      <alignment vertical="center"/>
    </xf>
    <xf numFmtId="0" fontId="69" fillId="0" borderId="0" xfId="0" applyNumberFormat="1" applyFont="1" applyAlignment="1">
      <alignment vertical="center"/>
    </xf>
    <xf numFmtId="0" fontId="24" fillId="0" borderId="0" xfId="0" applyNumberFormat="1" applyFont="1" applyAlignment="1">
      <alignment vertical="center"/>
    </xf>
    <xf numFmtId="0" fontId="6" fillId="0" borderId="0" xfId="0" applyNumberFormat="1" applyFont="1" applyAlignment="1">
      <alignment vertical="center" wrapText="1"/>
    </xf>
    <xf numFmtId="0" fontId="24" fillId="0" borderId="0" xfId="0" applyNumberFormat="1" applyFont="1" applyAlignment="1">
      <alignment vertical="center"/>
    </xf>
    <xf numFmtId="0" fontId="69" fillId="0" borderId="0" xfId="0" applyNumberFormat="1" applyFont="1" applyAlignment="1">
      <alignment vertical="center"/>
    </xf>
    <xf numFmtId="0" fontId="14" fillId="0" borderId="0" xfId="0" applyNumberFormat="1" applyFont="1" applyAlignment="1">
      <alignment vertical="center"/>
    </xf>
    <xf numFmtId="0" fontId="6"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19" fillId="0" borderId="3" xfId="0" applyNumberFormat="1" applyFont="1" applyBorder="1" applyAlignment="1">
      <alignment horizontal="center" vertical="center" wrapText="1"/>
    </xf>
    <xf numFmtId="0" fontId="30" fillId="0" borderId="0" xfId="0" applyNumberFormat="1" applyFont="1" applyAlignment="1">
      <alignment vertical="center"/>
    </xf>
    <xf numFmtId="0" fontId="0" fillId="0" borderId="0" xfId="0" applyNumberFormat="1" applyFont="1" applyAlignment="1">
      <alignment vertical="center"/>
    </xf>
    <xf numFmtId="0" fontId="31" fillId="0" borderId="0" xfId="0" applyNumberFormat="1" applyFont="1" applyAlignment="1">
      <alignment horizontal="center" vertical="center"/>
    </xf>
    <xf numFmtId="0" fontId="6"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6" fillId="0" borderId="8" xfId="0" applyNumberFormat="1" applyFont="1" applyBorder="1" applyAlignment="1">
      <alignment horizontal="center" vertical="center" wrapText="1"/>
    </xf>
    <xf numFmtId="49" fontId="58" fillId="0" borderId="3" xfId="0" applyNumberFormat="1" applyFont="1" applyBorder="1" applyAlignment="1">
      <alignment horizontal="left" vertical="center" wrapText="1" indent="1"/>
    </xf>
    <xf numFmtId="0" fontId="30" fillId="0" borderId="0" xfId="0" applyNumberFormat="1" applyFont="1" applyAlignment="1">
      <alignment vertical="center"/>
    </xf>
    <xf numFmtId="0" fontId="57" fillId="0" borderId="0" xfId="0" applyNumberFormat="1" applyFont="1" applyAlignment="1">
      <alignment vertical="center"/>
    </xf>
    <xf numFmtId="0" fontId="0" fillId="0" borderId="0" xfId="0" applyNumberFormat="1" applyFont="1" applyAlignment="1">
      <alignment vertical="center"/>
    </xf>
    <xf numFmtId="49" fontId="23" fillId="10" borderId="4" xfId="0" applyNumberFormat="1" applyFont="1" applyFill="1" applyBorder="1" applyAlignment="1">
      <alignment horizontal="left" vertical="center" indent="1"/>
    </xf>
    <xf numFmtId="49" fontId="33" fillId="10" borderId="4" xfId="0" applyNumberFormat="1" applyFont="1" applyFill="1" applyBorder="1" applyAlignment="1">
      <alignment horizontal="right" vertical="center" wrapText="1"/>
    </xf>
    <xf numFmtId="0" fontId="58" fillId="15" borderId="0" xfId="0" applyNumberFormat="1" applyFont="1" applyFill="1">
      <alignment vertical="top"/>
    </xf>
    <xf numFmtId="49" fontId="15" fillId="0" borderId="0" xfId="0" applyNumberFormat="1" applyFont="1" applyAlignment="1">
      <alignment horizontal="center" vertical="center" wrapText="1"/>
    </xf>
    <xf numFmtId="0" fontId="31" fillId="0" borderId="0" xfId="0" applyNumberFormat="1" applyFont="1" applyAlignment="1">
      <alignment vertical="center" wrapText="1"/>
    </xf>
    <xf numFmtId="0" fontId="15" fillId="0" borderId="0" xfId="0" applyNumberFormat="1" applyFont="1" applyAlignment="1">
      <alignment vertical="center" wrapText="1"/>
    </xf>
    <xf numFmtId="0" fontId="6" fillId="0" borderId="0" xfId="0" applyNumberFormat="1" applyFont="1" applyAlignment="1">
      <alignment horizontal="center" vertical="center" wrapText="1"/>
    </xf>
    <xf numFmtId="0" fontId="33" fillId="0" borderId="0" xfId="0" applyNumberFormat="1" applyFont="1" applyAlignment="1">
      <alignment horizontal="center" vertical="center" wrapText="1"/>
    </xf>
    <xf numFmtId="49" fontId="15" fillId="0" borderId="0" xfId="0" applyNumberFormat="1" applyFont="1" applyAlignment="1">
      <alignment horizontal="center" vertical="center" wrapText="1"/>
    </xf>
    <xf numFmtId="4" fontId="6" fillId="0" borderId="0" xfId="0" applyNumberFormat="1" applyFont="1" applyAlignment="1">
      <alignment horizontal="right" vertical="center" wrapText="1"/>
    </xf>
    <xf numFmtId="9" fontId="33" fillId="0" borderId="0" xfId="0" applyNumberFormat="1" applyFont="1" applyAlignment="1">
      <alignment horizontal="center" vertical="center" wrapText="1"/>
    </xf>
    <xf numFmtId="0" fontId="54" fillId="0" borderId="0" xfId="0" applyNumberFormat="1" applyFont="1" applyAlignment="1">
      <alignment vertical="center" wrapText="1"/>
    </xf>
    <xf numFmtId="0" fontId="31" fillId="0" borderId="0" xfId="0" applyNumberFormat="1" applyFont="1" applyAlignment="1">
      <alignment vertical="center" wrapText="1"/>
    </xf>
    <xf numFmtId="0" fontId="15" fillId="0" borderId="0" xfId="0" applyNumberFormat="1" applyFont="1" applyAlignment="1">
      <alignment vertical="center" wrapText="1"/>
    </xf>
    <xf numFmtId="49" fontId="46" fillId="0" borderId="0" xfId="0" applyNumberFormat="1" applyFont="1" applyAlignment="1">
      <alignment horizontal="center" vertical="center" wrapText="1"/>
    </xf>
    <xf numFmtId="0" fontId="4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1" fillId="0" borderId="0" xfId="0" applyNumberFormat="1" applyFont="1">
      <alignment vertical="top"/>
    </xf>
    <xf numFmtId="49" fontId="30" fillId="0" borderId="0" xfId="0" applyNumberFormat="1" applyFont="1">
      <alignment vertical="top"/>
    </xf>
    <xf numFmtId="49" fontId="31" fillId="0" borderId="0" xfId="0" applyNumberFormat="1" applyFont="1">
      <alignment vertical="top"/>
    </xf>
    <xf numFmtId="49" fontId="30" fillId="0" borderId="0" xfId="0" applyNumberFormat="1" applyFont="1">
      <alignment vertical="top"/>
    </xf>
    <xf numFmtId="49" fontId="30" fillId="0" borderId="0" xfId="0" applyNumberFormat="1" applyFont="1">
      <alignment vertical="top"/>
    </xf>
    <xf numFmtId="0" fontId="30" fillId="0" borderId="0" xfId="0" applyNumberFormat="1" applyFont="1">
      <alignment vertical="top"/>
    </xf>
    <xf numFmtId="0" fontId="57" fillId="0" borderId="0" xfId="0" applyNumberFormat="1" applyFont="1">
      <alignment vertical="top"/>
    </xf>
    <xf numFmtId="0" fontId="70" fillId="0" borderId="0" xfId="0" applyNumberFormat="1" applyFont="1">
      <alignment vertical="top"/>
    </xf>
    <xf numFmtId="0" fontId="30"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0" fontId="31" fillId="0" borderId="3" xfId="0" applyNumberFormat="1" applyFont="1" applyBorder="1" applyAlignment="1">
      <alignment horizontal="left" vertical="center" wrapText="1"/>
    </xf>
    <xf numFmtId="0" fontId="31"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30"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3" fillId="10" borderId="6" xfId="0" applyNumberFormat="1" applyFont="1" applyFill="1" applyBorder="1" applyAlignment="1">
      <alignment horizontal="left" vertical="center"/>
    </xf>
    <xf numFmtId="49" fontId="23" fillId="10" borderId="4" xfId="0" applyNumberFormat="1" applyFont="1" applyFill="1" applyBorder="1" applyAlignment="1">
      <alignment horizontal="left" vertical="center" indent="1"/>
    </xf>
    <xf numFmtId="49" fontId="23" fillId="10" borderId="5" xfId="0" applyNumberFormat="1" applyFont="1" applyFill="1" applyBorder="1" applyAlignment="1">
      <alignment horizontal="left" vertical="center"/>
    </xf>
    <xf numFmtId="49" fontId="23" fillId="10" borderId="6" xfId="0" applyNumberFormat="1" applyFont="1" applyFill="1" applyBorder="1" applyAlignment="1">
      <alignment horizontal="left" vertical="center" indent="1"/>
    </xf>
    <xf numFmtId="49" fontId="23" fillId="10" borderId="6" xfId="0" applyNumberFormat="1" applyFont="1" applyFill="1" applyBorder="1" applyAlignment="1">
      <alignment horizontal="left" vertical="center"/>
    </xf>
    <xf numFmtId="49" fontId="23" fillId="10" borderId="4" xfId="0" applyNumberFormat="1" applyFont="1" applyFill="1" applyBorder="1" applyAlignment="1">
      <alignment horizontal="left" vertical="center" indent="1"/>
    </xf>
    <xf numFmtId="0" fontId="23" fillId="0" borderId="3" xfId="0" applyNumberFormat="1" applyFont="1" applyBorder="1" applyAlignment="1">
      <alignment horizontal="left" vertical="center" indent="1"/>
    </xf>
    <xf numFmtId="0" fontId="6" fillId="0" borderId="0" xfId="0" applyNumberFormat="1" applyFont="1" applyAlignment="1">
      <alignment horizontal="right" vertical="center" wrapText="1"/>
    </xf>
    <xf numFmtId="0" fontId="0" fillId="0" borderId="0" xfId="0" applyNumberFormat="1" applyFont="1" applyAlignment="1">
      <alignment vertical="center"/>
    </xf>
    <xf numFmtId="0" fontId="28" fillId="0" borderId="0" xfId="0" applyNumberFormat="1" applyFont="1" applyAlignment="1">
      <alignment horizontal="right" vertical="top" wrapText="1"/>
    </xf>
    <xf numFmtId="0" fontId="6" fillId="0" borderId="0" xfId="0" applyNumberFormat="1" applyFont="1" applyAlignment="1">
      <alignment vertical="top" wrapText="1"/>
    </xf>
    <xf numFmtId="0" fontId="6" fillId="0" borderId="0" xfId="0" applyNumberFormat="1" applyFont="1" applyAlignment="1">
      <alignment horizontal="left" vertical="top" wrapText="1"/>
    </xf>
    <xf numFmtId="0" fontId="19" fillId="0" borderId="0" xfId="0" applyNumberFormat="1" applyFont="1" applyAlignment="1">
      <alignment horizontal="center" vertical="center" wrapText="1"/>
    </xf>
    <xf numFmtId="4" fontId="6" fillId="0" borderId="3" xfId="0" applyNumberFormat="1" applyFont="1" applyBorder="1" applyAlignment="1">
      <alignment horizontal="center" vertical="center" wrapText="1"/>
    </xf>
    <xf numFmtId="49" fontId="36" fillId="9" borderId="5" xfId="0" applyNumberFormat="1" applyFont="1" applyFill="1" applyBorder="1" applyAlignment="1" applyProtection="1">
      <alignment horizontal="left" vertical="center" wrapText="1"/>
      <protection locked="0"/>
    </xf>
    <xf numFmtId="49" fontId="36" fillId="9" borderId="5" xfId="0" applyNumberFormat="1" applyFont="1" applyFill="1" applyBorder="1" applyAlignment="1" applyProtection="1">
      <alignment horizontal="left" vertical="center" wrapText="1"/>
      <protection locked="0"/>
    </xf>
    <xf numFmtId="49" fontId="6" fillId="12" borderId="3" xfId="0" applyNumberFormat="1" applyFont="1" applyFill="1" applyBorder="1" applyAlignment="1" applyProtection="1">
      <alignment horizontal="left" vertical="center" wrapText="1"/>
      <protection locked="0"/>
    </xf>
    <xf numFmtId="0" fontId="28" fillId="0" borderId="0" xfId="0" applyNumberFormat="1" applyFont="1">
      <alignment vertical="top"/>
    </xf>
    <xf numFmtId="49" fontId="6" fillId="0" borderId="22" xfId="0" applyNumberFormat="1" applyFont="1" applyBorder="1" applyAlignment="1">
      <alignment horizontal="center" vertical="center" wrapText="1"/>
    </xf>
    <xf numFmtId="0" fontId="6" fillId="0" borderId="22" xfId="0" applyNumberFormat="1" applyFont="1" applyBorder="1" applyAlignment="1">
      <alignment horizontal="left" vertical="center" wrapText="1"/>
    </xf>
    <xf numFmtId="0" fontId="6" fillId="0" borderId="22" xfId="0" applyNumberFormat="1" applyFont="1" applyBorder="1" applyAlignment="1">
      <alignment horizontal="left" vertical="center" wrapText="1" indent="1"/>
    </xf>
    <xf numFmtId="4" fontId="6" fillId="12" borderId="22" xfId="0" applyNumberFormat="1" applyFont="1" applyFill="1" applyBorder="1" applyAlignment="1" applyProtection="1">
      <alignment horizontal="right" vertical="center" wrapText="1"/>
      <protection locked="0"/>
    </xf>
    <xf numFmtId="49" fontId="6" fillId="0" borderId="23" xfId="0" applyNumberFormat="1" applyFont="1" applyBorder="1" applyAlignment="1">
      <alignment horizontal="center" vertical="center" wrapText="1"/>
    </xf>
    <xf numFmtId="49" fontId="6" fillId="12" borderId="3" xfId="0" applyNumberFormat="1" applyFont="1" applyFill="1" applyBorder="1" applyAlignment="1" applyProtection="1">
      <alignment horizontal="left" vertical="center" wrapText="1" indent="1"/>
      <protection locked="0"/>
    </xf>
    <xf numFmtId="0" fontId="6" fillId="0" borderId="22" xfId="0" applyNumberFormat="1" applyFont="1" applyBorder="1" applyAlignment="1">
      <alignment horizontal="left" vertical="center" wrapText="1" indent="2"/>
    </xf>
    <xf numFmtId="0" fontId="30" fillId="0" borderId="0" xfId="0" applyNumberFormat="1" applyFont="1" applyAlignment="1">
      <alignment horizontal="center" vertical="center" wrapText="1"/>
    </xf>
    <xf numFmtId="49" fontId="6" fillId="0" borderId="0" xfId="0" applyNumberFormat="1" applyFont="1" applyAlignment="1">
      <alignment horizontal="left" vertical="center" wrapText="1"/>
    </xf>
    <xf numFmtId="0" fontId="66" fillId="0" borderId="0" xfId="0" applyNumberFormat="1" applyFont="1" applyAlignment="1">
      <alignment vertical="center" wrapText="1"/>
    </xf>
    <xf numFmtId="0" fontId="66" fillId="0" borderId="0" xfId="0" applyNumberFormat="1" applyFont="1" applyAlignment="1">
      <alignment vertical="center" wrapText="1"/>
    </xf>
    <xf numFmtId="0" fontId="6" fillId="0" borderId="0" xfId="0" applyNumberFormat="1" applyFont="1" applyAlignment="1">
      <alignment horizontal="left" vertical="center" wrapText="1"/>
    </xf>
    <xf numFmtId="0" fontId="6" fillId="0" borderId="3" xfId="0" applyNumberFormat="1" applyFont="1" applyBorder="1" applyAlignment="1">
      <alignment horizontal="left" vertical="center" wrapText="1"/>
    </xf>
    <xf numFmtId="3" fontId="6" fillId="0" borderId="5" xfId="0" applyNumberFormat="1" applyFont="1" applyBorder="1" applyAlignment="1">
      <alignment vertical="center" wrapText="1"/>
    </xf>
    <xf numFmtId="0" fontId="6" fillId="0" borderId="4" xfId="0" applyNumberFormat="1" applyFont="1" applyBorder="1" applyAlignment="1">
      <alignment vertical="center" wrapText="1"/>
    </xf>
    <xf numFmtId="4" fontId="6" fillId="9" borderId="5" xfId="0" applyNumberFormat="1" applyFont="1" applyFill="1" applyBorder="1" applyAlignment="1" applyProtection="1">
      <alignment horizontal="right" vertical="center" wrapText="1"/>
      <protection locked="0"/>
    </xf>
    <xf numFmtId="4" fontId="6" fillId="0" borderId="5" xfId="0" applyNumberFormat="1" applyFont="1" applyBorder="1" applyAlignment="1">
      <alignment horizontal="right" vertical="center" wrapText="1"/>
    </xf>
    <xf numFmtId="4" fontId="6" fillId="0" borderId="21" xfId="0" applyNumberFormat="1" applyFont="1" applyBorder="1" applyAlignment="1">
      <alignment horizontal="right" vertical="center" wrapText="1"/>
    </xf>
    <xf numFmtId="0" fontId="19"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3" fontId="6" fillId="12" borderId="5" xfId="0" applyNumberFormat="1" applyFont="1" applyFill="1" applyBorder="1" applyAlignment="1" applyProtection="1">
      <alignment vertical="center" wrapText="1"/>
      <protection locked="0"/>
    </xf>
    <xf numFmtId="49" fontId="6" fillId="9" borderId="5" xfId="0" applyNumberFormat="1" applyFont="1" applyFill="1" applyBorder="1" applyAlignment="1" applyProtection="1">
      <alignment horizontal="left" vertical="center" wrapText="1"/>
      <protection locked="0"/>
    </xf>
    <xf numFmtId="4" fontId="6" fillId="7" borderId="5" xfId="0" applyNumberFormat="1" applyFont="1" applyFill="1" applyBorder="1" applyAlignment="1">
      <alignment horizontal="right" vertical="center" wrapText="1"/>
    </xf>
    <xf numFmtId="0" fontId="6"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6"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6" fillId="10" borderId="10" xfId="0" applyNumberFormat="1" applyFont="1" applyFill="1" applyBorder="1" applyAlignment="1">
      <alignment vertical="center" wrapText="1"/>
    </xf>
    <xf numFmtId="0" fontId="6" fillId="0" borderId="6" xfId="0" applyNumberFormat="1" applyFont="1" applyBorder="1" applyAlignment="1">
      <alignment horizontal="center" vertical="center" wrapText="1"/>
    </xf>
    <xf numFmtId="0" fontId="6" fillId="10" borderId="18" xfId="0" applyNumberFormat="1" applyFont="1" applyFill="1" applyBorder="1" applyAlignment="1">
      <alignment vertical="center" wrapText="1"/>
    </xf>
    <xf numFmtId="49" fontId="6"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left" vertical="center" wrapText="1" indent="1"/>
    </xf>
    <xf numFmtId="0" fontId="71" fillId="0" borderId="0" xfId="0" applyNumberFormat="1" applyFont="1" applyAlignment="1">
      <alignment vertical="center" wrapText="1"/>
    </xf>
    <xf numFmtId="0" fontId="71" fillId="8" borderId="0" xfId="0" applyNumberFormat="1" applyFont="1" applyFill="1" applyAlignment="1">
      <alignment horizontal="center" vertical="center" wrapText="1"/>
    </xf>
    <xf numFmtId="0" fontId="71" fillId="8" borderId="0" xfId="0" applyNumberFormat="1" applyFont="1" applyFill="1" applyAlignment="1">
      <alignment horizontal="right" vertical="center" wrapText="1"/>
    </xf>
    <xf numFmtId="0" fontId="6" fillId="0" borderId="3"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6" fillId="0" borderId="3" xfId="0" applyNumberFormat="1" applyFont="1" applyBorder="1" applyAlignment="1">
      <alignment horizontal="center" vertical="center" wrapText="1"/>
    </xf>
    <xf numFmtId="0" fontId="30" fillId="0" borderId="0" xfId="0" applyNumberFormat="1" applyFont="1" applyAlignment="1">
      <alignment horizontal="center" vertical="top"/>
    </xf>
    <xf numFmtId="0" fontId="6" fillId="0" borderId="3" xfId="0" applyNumberFormat="1" applyFont="1" applyBorder="1" applyAlignment="1">
      <alignment horizontal="left" vertical="center" wrapText="1"/>
    </xf>
    <xf numFmtId="0" fontId="31" fillId="0" borderId="0" xfId="0" applyNumberFormat="1" applyFont="1" applyAlignment="1">
      <alignment horizontal="center" vertical="center" wrapText="1"/>
    </xf>
    <xf numFmtId="0" fontId="6" fillId="0" borderId="3" xfId="0" applyNumberFormat="1" applyFont="1" applyBorder="1" applyAlignment="1">
      <alignment horizontal="left" vertical="center" wrapText="1"/>
    </xf>
    <xf numFmtId="49" fontId="6" fillId="13" borderId="3" xfId="0" applyNumberFormat="1" applyFont="1" applyFill="1" applyBorder="1" applyAlignment="1">
      <alignment horizontal="left" vertical="center" wrapText="1" indent="1"/>
    </xf>
    <xf numFmtId="0" fontId="6" fillId="0" borderId="5" xfId="0" applyNumberFormat="1" applyFont="1" applyBorder="1" applyAlignment="1">
      <alignment vertical="center" wrapText="1"/>
    </xf>
    <xf numFmtId="0" fontId="6" fillId="0" borderId="0" xfId="0" applyNumberFormat="1" applyFont="1" applyAlignment="1">
      <alignment horizontal="right" vertical="center"/>
    </xf>
    <xf numFmtId="49" fontId="36" fillId="10" borderId="4" xfId="0" applyNumberFormat="1" applyFont="1" applyFill="1" applyBorder="1" applyAlignment="1">
      <alignment horizontal="left" vertical="center" wrapText="1"/>
    </xf>
    <xf numFmtId="0" fontId="72" fillId="0" borderId="0" xfId="0" applyNumberFormat="1" applyFont="1" applyAlignment="1">
      <alignment vertical="center"/>
    </xf>
    <xf numFmtId="0" fontId="73" fillId="0" borderId="0" xfId="0" applyNumberFormat="1" applyFont="1" applyAlignment="1">
      <alignment vertical="center"/>
    </xf>
    <xf numFmtId="49" fontId="31" fillId="0" borderId="13" xfId="0" applyNumberFormat="1" applyFont="1" applyBorder="1">
      <alignment vertical="top"/>
    </xf>
    <xf numFmtId="49" fontId="31" fillId="0" borderId="13" xfId="0" applyNumberFormat="1" applyFont="1" applyBorder="1">
      <alignment vertical="top"/>
    </xf>
    <xf numFmtId="0" fontId="31" fillId="0" borderId="13" xfId="0" applyNumberFormat="1" applyFont="1" applyBorder="1" applyAlignment="1">
      <alignment vertical="center" wrapText="1"/>
    </xf>
    <xf numFmtId="0" fontId="6" fillId="0" borderId="4" xfId="0" applyNumberFormat="1" applyFont="1" applyBorder="1" applyAlignment="1">
      <alignment horizontal="left" vertical="center" wrapText="1" indent="1"/>
    </xf>
    <xf numFmtId="0" fontId="54" fillId="0" borderId="13" xfId="0" applyNumberFormat="1" applyFont="1" applyBorder="1" applyAlignment="1">
      <alignment vertical="center" wrapText="1"/>
    </xf>
    <xf numFmtId="4" fontId="6" fillId="0" borderId="22" xfId="0" applyNumberFormat="1" applyFont="1" applyBorder="1" applyAlignment="1">
      <alignment horizontal="center" vertical="center" wrapText="1"/>
    </xf>
    <xf numFmtId="0" fontId="6" fillId="0" borderId="24" xfId="0" applyNumberFormat="1" applyFont="1" applyBorder="1" applyAlignment="1">
      <alignment horizontal="left" vertical="center" wrapText="1"/>
    </xf>
    <xf numFmtId="0" fontId="6" fillId="0" borderId="24" xfId="0" applyNumberFormat="1" applyFont="1" applyBorder="1" applyAlignment="1">
      <alignment horizontal="left" vertical="center" wrapText="1" indent="1"/>
    </xf>
    <xf numFmtId="4" fontId="6" fillId="12" borderId="24" xfId="0" applyNumberFormat="1" applyFont="1" applyFill="1" applyBorder="1" applyAlignment="1" applyProtection="1">
      <alignment horizontal="right" vertical="center" wrapText="1"/>
      <protection locked="0"/>
    </xf>
    <xf numFmtId="4" fontId="6" fillId="0" borderId="24" xfId="0" applyNumberFormat="1" applyFont="1" applyBorder="1" applyAlignment="1">
      <alignment horizontal="center" vertical="center" wrapText="1"/>
    </xf>
    <xf numFmtId="49" fontId="6" fillId="0" borderId="25" xfId="0" applyNumberFormat="1" applyFont="1" applyBorder="1" applyAlignment="1">
      <alignment horizontal="center" vertical="center" wrapText="1"/>
    </xf>
    <xf numFmtId="4" fontId="6" fillId="12" borderId="5" xfId="0" applyNumberFormat="1" applyFont="1" applyFill="1" applyBorder="1" applyAlignment="1" applyProtection="1">
      <alignment horizontal="right" vertical="center" wrapText="1"/>
      <protection locked="0"/>
    </xf>
    <xf numFmtId="4" fontId="6" fillId="12" borderId="25" xfId="0" applyNumberFormat="1" applyFont="1" applyFill="1" applyBorder="1" applyAlignment="1" applyProtection="1">
      <alignment horizontal="right" vertical="center" wrapText="1"/>
      <protection locked="0"/>
    </xf>
    <xf numFmtId="0" fontId="30" fillId="0" borderId="0" xfId="0" applyNumberFormat="1" applyFont="1" applyAlignment="1">
      <alignment horizontal="left" vertical="center" wrapText="1"/>
    </xf>
    <xf numFmtId="0" fontId="31" fillId="0" borderId="0" xfId="0" applyNumberFormat="1" applyFont="1" applyAlignment="1">
      <alignment horizontal="left" vertical="center" wrapText="1"/>
    </xf>
    <xf numFmtId="0" fontId="37" fillId="0" borderId="0" xfId="0" applyNumberFormat="1" applyFont="1" applyAlignment="1">
      <alignment horizontal="left" vertical="center" wrapText="1"/>
    </xf>
    <xf numFmtId="0" fontId="15" fillId="0" borderId="0" xfId="0" applyNumberFormat="1" applyFont="1" applyAlignment="1">
      <alignment horizontal="left" vertical="center" wrapText="1"/>
    </xf>
    <xf numFmtId="49" fontId="6" fillId="0" borderId="0" xfId="0" applyNumberFormat="1" applyFont="1" applyAlignment="1">
      <alignment horizontal="center" vertical="center" wrapText="1"/>
    </xf>
    <xf numFmtId="0" fontId="67" fillId="0" borderId="0" xfId="0" applyNumberFormat="1" applyFont="1" applyAlignment="1">
      <alignment vertical="center" wrapText="1"/>
    </xf>
    <xf numFmtId="0" fontId="31" fillId="0" borderId="0" xfId="0" applyNumberFormat="1" applyFont="1" applyAlignment="1">
      <alignment vertical="center" wrapText="1"/>
    </xf>
    <xf numFmtId="0" fontId="37" fillId="0" borderId="0" xfId="0" applyNumberFormat="1" applyFont="1" applyAlignment="1">
      <alignment vertical="center" wrapText="1"/>
    </xf>
    <xf numFmtId="0" fontId="15" fillId="0" borderId="0" xfId="0" applyNumberFormat="1" applyFont="1" applyAlignment="1">
      <alignment vertical="center" wrapText="1"/>
    </xf>
    <xf numFmtId="49" fontId="33" fillId="0" borderId="0" xfId="0" applyNumberFormat="1" applyFont="1" applyAlignment="1">
      <alignment horizontal="center" vertical="center"/>
    </xf>
    <xf numFmtId="0" fontId="6" fillId="0" borderId="0" xfId="0" applyNumberFormat="1" applyFont="1" applyAlignment="1">
      <alignment vertical="center" wrapText="1"/>
    </xf>
    <xf numFmtId="4" fontId="6" fillId="0" borderId="26" xfId="0" applyNumberFormat="1" applyFont="1" applyBorder="1" applyAlignment="1">
      <alignment horizontal="center" vertical="center" wrapText="1"/>
    </xf>
    <xf numFmtId="4" fontId="6" fillId="12" borderId="26" xfId="0" applyNumberFormat="1" applyFont="1" applyFill="1" applyBorder="1" applyAlignment="1" applyProtection="1">
      <alignment horizontal="right" vertical="center" wrapText="1"/>
      <protection locked="0"/>
    </xf>
    <xf numFmtId="4" fontId="6" fillId="12" borderId="14" xfId="0" applyNumberFormat="1" applyFont="1" applyFill="1" applyBorder="1" applyAlignment="1" applyProtection="1">
      <alignment horizontal="right" vertical="center" wrapText="1"/>
      <protection locked="0"/>
    </xf>
    <xf numFmtId="49" fontId="6" fillId="0" borderId="24" xfId="0" applyNumberFormat="1" applyFont="1" applyBorder="1" applyAlignment="1">
      <alignment horizontal="center" vertical="center" wrapText="1"/>
    </xf>
    <xf numFmtId="0" fontId="6" fillId="0" borderId="26" xfId="0" applyNumberFormat="1" applyFont="1" applyBorder="1" applyAlignment="1">
      <alignment horizontal="left" vertical="center" wrapText="1"/>
    </xf>
    <xf numFmtId="0" fontId="6" fillId="0" borderId="11" xfId="0" applyNumberFormat="1" applyFont="1" applyBorder="1" applyAlignment="1">
      <alignment vertical="center" wrapText="1"/>
    </xf>
    <xf numFmtId="0" fontId="20" fillId="0" borderId="0" xfId="0" applyNumberFormat="1" applyFont="1" applyAlignment="1">
      <alignment horizontal="center" vertical="center" wrapText="1"/>
    </xf>
    <xf numFmtId="0" fontId="6" fillId="10" borderId="6" xfId="0" applyNumberFormat="1" applyFont="1" applyFill="1" applyBorder="1" applyAlignment="1">
      <alignment vertical="center" wrapText="1"/>
    </xf>
    <xf numFmtId="0" fontId="30" fillId="10" borderId="4" xfId="0" applyNumberFormat="1" applyFont="1" applyFill="1" applyBorder="1" applyAlignment="1">
      <alignment vertical="center" wrapText="1"/>
    </xf>
    <xf numFmtId="166" fontId="6"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6" fillId="9" borderId="3" xfId="0" applyNumberFormat="1" applyFont="1" applyFill="1" applyBorder="1" applyAlignment="1" applyProtection="1">
      <alignment horizontal="right" vertical="center" wrapText="1"/>
      <protection locked="0"/>
    </xf>
    <xf numFmtId="0" fontId="56" fillId="8" borderId="0" xfId="0" applyNumberFormat="1" applyFont="1" applyFill="1" applyAlignment="1">
      <alignment horizontal="right" vertical="center"/>
    </xf>
    <xf numFmtId="49" fontId="0" fillId="0" borderId="3" xfId="0" applyNumberFormat="1" applyFont="1" applyBorder="1">
      <alignment vertical="top"/>
    </xf>
    <xf numFmtId="0" fontId="6"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6" fillId="0" borderId="0" xfId="0" applyNumberFormat="1" applyFont="1" applyAlignment="1">
      <alignment vertical="center" wrapText="1"/>
    </xf>
    <xf numFmtId="0" fontId="15" fillId="0" borderId="0" xfId="0" applyNumberFormat="1" applyFont="1" applyAlignment="1">
      <alignment vertical="center" wrapText="1"/>
    </xf>
    <xf numFmtId="0" fontId="6" fillId="0" borderId="3" xfId="0" applyNumberFormat="1" applyFont="1" applyBorder="1" applyAlignment="1">
      <alignment horizontal="center" vertical="center" wrapText="1"/>
    </xf>
    <xf numFmtId="0" fontId="6" fillId="0" borderId="3" xfId="0" applyNumberFormat="1" applyFont="1" applyBorder="1" applyAlignment="1">
      <alignment horizontal="center" vertical="center" wrapText="1"/>
    </xf>
    <xf numFmtId="49" fontId="6" fillId="0" borderId="0" xfId="0" applyNumberFormat="1" applyFont="1" applyAlignment="1">
      <alignment vertical="center" wrapText="1"/>
    </xf>
    <xf numFmtId="0" fontId="6"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6" fillId="0" borderId="0" xfId="0" applyNumberFormat="1" applyFont="1" applyAlignment="1">
      <alignment horizontal="center" vertical="center" wrapText="1"/>
    </xf>
    <xf numFmtId="0" fontId="33" fillId="8" borderId="0" xfId="0" applyNumberFormat="1" applyFont="1" applyFill="1" applyAlignment="1">
      <alignment vertical="center" wrapText="1"/>
    </xf>
    <xf numFmtId="0" fontId="36"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6" fillId="8" borderId="0" xfId="0" applyNumberFormat="1" applyFont="1" applyFill="1" applyAlignment="1">
      <alignment horizontal="center" vertical="center" wrapText="1"/>
    </xf>
    <xf numFmtId="164" fontId="6" fillId="0" borderId="5" xfId="0" applyNumberFormat="1" applyFont="1" applyBorder="1" applyAlignment="1">
      <alignment horizontal="center" vertical="center" wrapText="1"/>
    </xf>
    <xf numFmtId="49" fontId="19" fillId="0" borderId="6"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14"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74" fillId="0" borderId="0" xfId="0" applyNumberFormat="1" applyFont="1" applyAlignment="1">
      <alignment horizontal="left" vertical="center" wrapText="1"/>
    </xf>
    <xf numFmtId="0" fontId="74" fillId="0" borderId="0" xfId="0" applyNumberFormat="1" applyFont="1" applyAlignment="1">
      <alignment horizontal="left" vertical="center" wrapText="1"/>
    </xf>
    <xf numFmtId="14" fontId="74" fillId="8" borderId="0" xfId="0" applyNumberFormat="1" applyFont="1" applyFill="1" applyAlignment="1">
      <alignment horizontal="left" vertical="center" wrapText="1"/>
    </xf>
    <xf numFmtId="14" fontId="75" fillId="0" borderId="0" xfId="0" applyNumberFormat="1" applyFont="1" applyAlignment="1">
      <alignment horizontal="center" vertical="center" wrapText="1"/>
    </xf>
    <xf numFmtId="0" fontId="74" fillId="0" borderId="0" xfId="0" applyNumberFormat="1" applyFont="1" applyAlignment="1">
      <alignment horizontal="left" vertical="center" wrapText="1"/>
    </xf>
    <xf numFmtId="14" fontId="76" fillId="0" borderId="3" xfId="0" applyNumberFormat="1" applyFont="1" applyBorder="1" applyAlignment="1">
      <alignment horizontal="left" vertical="center" wrapText="1"/>
    </xf>
    <xf numFmtId="0" fontId="31" fillId="0" borderId="0" xfId="0" applyNumberFormat="1" applyFont="1" applyAlignment="1">
      <alignment vertical="center"/>
    </xf>
    <xf numFmtId="49" fontId="6" fillId="10" borderId="10" xfId="0" applyNumberFormat="1" applyFont="1" applyFill="1" applyBorder="1" applyAlignment="1">
      <alignment horizontal="center" vertical="center" wrapText="1"/>
    </xf>
    <xf numFmtId="49" fontId="6" fillId="7" borderId="14" xfId="0" applyNumberFormat="1" applyFont="1" applyFill="1" applyBorder="1" applyAlignment="1">
      <alignment horizontal="center" vertical="center" wrapText="1"/>
    </xf>
    <xf numFmtId="49" fontId="30" fillId="0" borderId="3" xfId="0" applyNumberFormat="1" applyFont="1" applyBorder="1" applyAlignment="1">
      <alignment horizontal="left" vertical="center" wrapText="1"/>
    </xf>
    <xf numFmtId="14" fontId="6" fillId="13" borderId="14" xfId="0" applyNumberFormat="1" applyFont="1" applyFill="1" applyBorder="1" applyAlignment="1">
      <alignment horizontal="left" vertical="center" wrapText="1" indent="1"/>
    </xf>
    <xf numFmtId="49" fontId="6" fillId="10" borderId="5" xfId="0" applyNumberFormat="1" applyFont="1" applyFill="1" applyBorder="1" applyAlignment="1">
      <alignment horizontal="right" vertical="center" wrapText="1"/>
    </xf>
    <xf numFmtId="0" fontId="31" fillId="0" borderId="14" xfId="0" applyNumberFormat="1" applyFont="1" applyBorder="1" applyAlignment="1">
      <alignment horizontal="center" vertical="center" wrapText="1"/>
    </xf>
    <xf numFmtId="49" fontId="6" fillId="0" borderId="4" xfId="0" applyNumberFormat="1" applyFont="1" applyBorder="1" applyAlignment="1">
      <alignment horizontal="center" vertical="top"/>
    </xf>
    <xf numFmtId="49" fontId="6" fillId="0" borderId="3" xfId="0" applyNumberFormat="1" applyFont="1" applyBorder="1" applyAlignment="1">
      <alignment horizontal="center" vertical="top"/>
    </xf>
    <xf numFmtId="0" fontId="6" fillId="0" borderId="14" xfId="0" applyNumberFormat="1" applyFont="1" applyBorder="1" applyAlignment="1">
      <alignment horizontal="center" vertical="center" wrapText="1"/>
    </xf>
    <xf numFmtId="49" fontId="6" fillId="0" borderId="5" xfId="0" applyNumberFormat="1" applyFont="1" applyBorder="1" applyAlignment="1">
      <alignment horizontal="center" vertical="top"/>
    </xf>
    <xf numFmtId="0" fontId="19" fillId="0" borderId="15" xfId="0" applyNumberFormat="1" applyFont="1" applyBorder="1" applyAlignment="1">
      <alignment vertical="top" wrapText="1"/>
    </xf>
    <xf numFmtId="0" fontId="19" fillId="0" borderId="0" xfId="0" applyNumberFormat="1" applyFont="1" applyAlignment="1">
      <alignment vertical="top" wrapText="1"/>
    </xf>
    <xf numFmtId="0" fontId="31" fillId="0" borderId="3"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31" fillId="0" borderId="3" xfId="0" applyNumberFormat="1" applyFont="1" applyBorder="1" applyAlignment="1">
      <alignment horizontal="center" vertical="center"/>
    </xf>
    <xf numFmtId="0" fontId="6" fillId="0" borderId="3"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3"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3" xfId="0" applyNumberFormat="1" applyFont="1" applyBorder="1" applyAlignment="1">
      <alignment horizontal="center" vertical="center" wrapText="1"/>
    </xf>
    <xf numFmtId="0" fontId="6" fillId="0" borderId="8" xfId="0" applyNumberFormat="1" applyFont="1" applyBorder="1" applyAlignment="1">
      <alignment horizontal="center" vertical="center" wrapText="1"/>
    </xf>
    <xf numFmtId="49" fontId="58" fillId="12" borderId="3" xfId="0" applyNumberFormat="1" applyFont="1" applyFill="1" applyBorder="1" applyAlignment="1" applyProtection="1">
      <alignment horizontal="left" vertical="center" wrapText="1" indent="1"/>
      <protection locked="0"/>
    </xf>
    <xf numFmtId="0" fontId="30" fillId="0" borderId="13" xfId="0" applyNumberFormat="1" applyFont="1" applyBorder="1" applyAlignment="1">
      <alignment vertical="center"/>
    </xf>
    <xf numFmtId="0" fontId="6" fillId="0" borderId="4" xfId="0" applyNumberFormat="1" applyFont="1" applyBorder="1" applyAlignment="1">
      <alignment horizontal="center" vertical="center" wrapText="1"/>
    </xf>
    <xf numFmtId="49" fontId="6" fillId="13" borderId="3" xfId="0" applyNumberFormat="1" applyFont="1" applyFill="1" applyBorder="1" applyAlignment="1">
      <alignment horizontal="center" vertical="center" wrapText="1"/>
    </xf>
    <xf numFmtId="0" fontId="6" fillId="0" borderId="3" xfId="0" applyNumberFormat="1" applyFont="1" applyBorder="1" applyAlignment="1">
      <alignment horizontal="center" vertical="center" wrapText="1"/>
    </xf>
    <xf numFmtId="0" fontId="6" fillId="7" borderId="5" xfId="0" applyNumberFormat="1" applyFont="1" applyFill="1" applyBorder="1" applyAlignment="1">
      <alignment horizontal="left" vertical="top" wrapText="1" indent="1"/>
    </xf>
    <xf numFmtId="3" fontId="6" fillId="9" borderId="5" xfId="0" applyNumberFormat="1" applyFont="1" applyFill="1" applyBorder="1" applyAlignment="1" applyProtection="1">
      <alignment horizontal="right" vertical="center" wrapText="1"/>
      <protection locked="0"/>
    </xf>
    <xf numFmtId="49" fontId="36" fillId="9" borderId="3" xfId="0" applyNumberFormat="1" applyFont="1" applyFill="1" applyBorder="1" applyAlignment="1" applyProtection="1">
      <alignment horizontal="left" vertical="center" wrapText="1"/>
      <protection locked="0"/>
    </xf>
    <xf numFmtId="0" fontId="36" fillId="0" borderId="0" xfId="0" applyNumberFormat="1" applyFont="1" applyAlignment="1">
      <alignment vertical="center" wrapText="1"/>
    </xf>
    <xf numFmtId="0" fontId="6" fillId="0" borderId="4" xfId="0" applyNumberFormat="1" applyFont="1" applyBorder="1" applyAlignment="1">
      <alignment horizontal="center" vertical="center" wrapText="1"/>
    </xf>
    <xf numFmtId="0" fontId="6" fillId="0" borderId="3" xfId="0" applyNumberFormat="1" applyFont="1" applyBorder="1" applyAlignment="1">
      <alignment horizontal="center" vertical="center" wrapText="1"/>
    </xf>
    <xf numFmtId="0" fontId="20" fillId="8" borderId="0" xfId="0" applyNumberFormat="1" applyFont="1" applyFill="1" applyAlignment="1">
      <alignment horizontal="center" vertical="center" wrapText="1"/>
    </xf>
    <xf numFmtId="0" fontId="6"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9" fillId="8" borderId="6" xfId="0" applyNumberFormat="1" applyFont="1" applyFill="1" applyBorder="1" applyAlignment="1">
      <alignment horizontal="center" vertical="center" wrapText="1"/>
    </xf>
    <xf numFmtId="0" fontId="6" fillId="0" borderId="0" xfId="0" applyNumberFormat="1" applyFont="1" applyAlignment="1">
      <alignment horizontal="left" vertical="center" wrapText="1" indent="1"/>
    </xf>
    <xf numFmtId="0" fontId="64" fillId="0" borderId="8" xfId="0" applyNumberFormat="1" applyFont="1" applyBorder="1" applyAlignment="1">
      <alignment horizontal="center" vertical="center" wrapText="1"/>
    </xf>
    <xf numFmtId="49" fontId="30" fillId="0" borderId="0" xfId="0" applyNumberFormat="1" applyFont="1">
      <alignment vertical="top"/>
    </xf>
    <xf numFmtId="0" fontId="7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6" fillId="0" borderId="0" xfId="0" applyNumberFormat="1" applyFont="1">
      <alignment vertical="top"/>
    </xf>
    <xf numFmtId="0" fontId="6" fillId="0" borderId="3" xfId="0" applyNumberFormat="1" applyFont="1" applyBorder="1" applyAlignment="1">
      <alignment horizontal="left" vertical="top" wrapText="1"/>
    </xf>
    <xf numFmtId="49" fontId="74" fillId="14" borderId="3" xfId="0" applyNumberFormat="1" applyFont="1" applyFill="1" applyBorder="1" applyAlignment="1">
      <alignment horizontal="center" vertical="top" wrapText="1"/>
    </xf>
    <xf numFmtId="49" fontId="78" fillId="0" borderId="3" xfId="0" applyNumberFormat="1" applyFont="1" applyBorder="1" applyAlignment="1">
      <alignment horizontal="left" vertical="top" wrapText="1"/>
    </xf>
    <xf numFmtId="0" fontId="78" fillId="0" borderId="3" xfId="0" applyNumberFormat="1" applyFont="1" applyBorder="1" applyAlignment="1">
      <alignment horizontal="left" vertical="top" wrapText="1"/>
    </xf>
    <xf numFmtId="0" fontId="78" fillId="14" borderId="3" xfId="0" applyNumberFormat="1" applyFont="1" applyFill="1" applyBorder="1" applyAlignment="1">
      <alignment horizontal="right" vertical="center" wrapText="1"/>
    </xf>
    <xf numFmtId="49" fontId="78" fillId="0" borderId="3" xfId="0" applyNumberFormat="1" applyFont="1" applyBorder="1" applyAlignment="1">
      <alignment vertical="top" wrapText="1"/>
    </xf>
    <xf numFmtId="0" fontId="78" fillId="0" borderId="8" xfId="0" applyNumberFormat="1" applyFont="1" applyBorder="1" applyAlignment="1">
      <alignment horizontal="left" vertical="top" wrapText="1"/>
    </xf>
    <xf numFmtId="0" fontId="78" fillId="0" borderId="4" xfId="0" applyNumberFormat="1" applyFont="1" applyBorder="1" applyAlignment="1">
      <alignment horizontal="left" vertical="top" wrapText="1"/>
    </xf>
    <xf numFmtId="0" fontId="78" fillId="0" borderId="3" xfId="0" applyNumberFormat="1" applyFont="1" applyBorder="1" applyAlignment="1">
      <alignment vertical="top" wrapText="1"/>
    </xf>
    <xf numFmtId="0" fontId="74" fillId="14" borderId="3" xfId="0" applyNumberFormat="1" applyFont="1" applyFill="1" applyBorder="1" applyAlignment="1">
      <alignment horizontal="center" vertical="top" wrapText="1"/>
    </xf>
    <xf numFmtId="0" fontId="73" fillId="0" borderId="0" xfId="0" applyNumberFormat="1" applyFont="1" applyAlignment="1">
      <alignment vertical="center" wrapText="1"/>
    </xf>
    <xf numFmtId="0" fontId="29"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6" fillId="13" borderId="5" xfId="0" applyNumberFormat="1" applyFont="1" applyFill="1" applyBorder="1" applyAlignment="1">
      <alignment horizontal="left" vertical="center" wrapText="1"/>
    </xf>
    <xf numFmtId="49" fontId="19" fillId="8" borderId="3" xfId="0" applyNumberFormat="1" applyFont="1" applyFill="1" applyBorder="1" applyAlignment="1">
      <alignment horizontal="center" vertical="center" wrapText="1"/>
    </xf>
    <xf numFmtId="49" fontId="56" fillId="10" borderId="4" xfId="0" applyNumberFormat="1" applyFont="1" applyFill="1" applyBorder="1" applyAlignment="1">
      <alignment vertical="center"/>
    </xf>
    <xf numFmtId="49" fontId="6" fillId="8" borderId="0" xfId="0" applyNumberFormat="1" applyFont="1" applyFill="1" applyAlignment="1">
      <alignment horizontal="center" vertical="center" wrapText="1"/>
    </xf>
    <xf numFmtId="0" fontId="6"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6" fillId="12" borderId="5" xfId="0" applyNumberFormat="1" applyFont="1" applyFill="1" applyBorder="1" applyAlignment="1" applyProtection="1">
      <alignment horizontal="left" vertical="center" wrapText="1"/>
      <protection locked="0"/>
    </xf>
    <xf numFmtId="49" fontId="6" fillId="12" borderId="3" xfId="0" quotePrefix="1" applyNumberFormat="1" applyFont="1" applyFill="1" applyBorder="1" applyAlignment="1" applyProtection="1">
      <alignment horizontal="left" vertical="center" wrapText="1"/>
      <protection locked="0"/>
    </xf>
    <xf numFmtId="14" fontId="6" fillId="13" borderId="14" xfId="0" applyNumberFormat="1" applyFont="1" applyFill="1" applyBorder="1" applyAlignment="1">
      <alignment horizontal="left" vertical="center" wrapText="1"/>
    </xf>
    <xf numFmtId="0" fontId="31" fillId="8" borderId="14" xfId="0" applyNumberFormat="1" applyFont="1" applyFill="1" applyBorder="1" applyAlignment="1">
      <alignment horizontal="center" vertical="center" wrapText="1"/>
    </xf>
    <xf numFmtId="0" fontId="20" fillId="8" borderId="15" xfId="0" applyNumberFormat="1" applyFont="1" applyFill="1" applyBorder="1" applyAlignment="1">
      <alignment vertical="top" wrapText="1"/>
    </xf>
    <xf numFmtId="0" fontId="20" fillId="8" borderId="0" xfId="0" applyNumberFormat="1" applyFont="1" applyFill="1" applyAlignment="1">
      <alignment vertical="top" wrapText="1"/>
    </xf>
    <xf numFmtId="14" fontId="6" fillId="13" borderId="20" xfId="0" applyNumberFormat="1" applyFont="1" applyFill="1" applyBorder="1" applyAlignment="1">
      <alignment horizontal="left" vertical="center" wrapText="1"/>
    </xf>
    <xf numFmtId="0" fontId="31" fillId="8" borderId="3" xfId="0" applyNumberFormat="1" applyFont="1" applyFill="1" applyBorder="1" applyAlignment="1">
      <alignment horizontal="center" vertical="center" wrapText="1"/>
    </xf>
    <xf numFmtId="0" fontId="23" fillId="10" borderId="6" xfId="0" applyNumberFormat="1" applyFont="1" applyFill="1" applyBorder="1" applyAlignment="1">
      <alignment vertical="center"/>
    </xf>
    <xf numFmtId="0" fontId="32" fillId="0" borderId="0" xfId="0" applyNumberFormat="1" applyFont="1" applyAlignment="1">
      <alignment vertical="center"/>
    </xf>
    <xf numFmtId="0" fontId="31" fillId="0" borderId="0" xfId="0" applyNumberFormat="1" applyFont="1" applyAlignment="1">
      <alignment vertical="center" wrapText="1"/>
    </xf>
    <xf numFmtId="49" fontId="30" fillId="0" borderId="0" xfId="0" applyNumberFormat="1" applyFont="1" applyAlignment="1">
      <alignment vertical="center" wrapText="1"/>
    </xf>
    <xf numFmtId="49" fontId="30" fillId="0" borderId="0" xfId="0" applyNumberFormat="1" applyFont="1">
      <alignment vertical="top"/>
    </xf>
    <xf numFmtId="0" fontId="71" fillId="0" borderId="0" xfId="0" applyNumberFormat="1" applyFont="1" applyAlignment="1">
      <alignment vertical="center" wrapText="1"/>
    </xf>
    <xf numFmtId="0" fontId="79" fillId="0" borderId="0" xfId="0" applyNumberFormat="1" applyFont="1" applyAlignment="1">
      <alignment vertical="center" wrapText="1"/>
    </xf>
    <xf numFmtId="0" fontId="30" fillId="0" borderId="0" xfId="0" applyNumberFormat="1" applyFont="1" applyAlignment="1">
      <alignment vertical="center" wrapText="1"/>
    </xf>
    <xf numFmtId="0" fontId="71" fillId="0" borderId="0" xfId="0" applyNumberFormat="1" applyFont="1" applyAlignment="1">
      <alignment horizontal="center" vertical="center" wrapText="1"/>
    </xf>
    <xf numFmtId="0" fontId="30" fillId="0" borderId="0" xfId="0" applyNumberFormat="1" applyFont="1" applyAlignment="1">
      <alignment vertical="center" wrapText="1"/>
    </xf>
    <xf numFmtId="14" fontId="6"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6"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6" fillId="0" borderId="6" xfId="0" applyNumberFormat="1" applyFont="1" applyBorder="1" applyAlignment="1">
      <alignment horizontal="right" vertical="center" wrapText="1" indent="1"/>
    </xf>
    <xf numFmtId="0" fontId="6" fillId="0" borderId="4" xfId="0" applyNumberFormat="1" applyFont="1" applyBorder="1" applyAlignment="1">
      <alignment horizontal="right" vertical="center" wrapText="1" indent="1"/>
    </xf>
    <xf numFmtId="0" fontId="80" fillId="8" borderId="0" xfId="0" applyNumberFormat="1" applyFont="1" applyFill="1" applyAlignment="1">
      <alignment horizontal="right" vertical="center"/>
    </xf>
    <xf numFmtId="49" fontId="78" fillId="0" borderId="4" xfId="0" applyNumberFormat="1" applyFont="1" applyBorder="1" applyAlignment="1">
      <alignment horizontal="left" vertical="top" wrapText="1"/>
    </xf>
    <xf numFmtId="49" fontId="78" fillId="0" borderId="5" xfId="0" applyNumberFormat="1" applyFont="1" applyBorder="1" applyAlignment="1">
      <alignment horizontal="left" vertical="top" wrapText="1"/>
    </xf>
    <xf numFmtId="0" fontId="78" fillId="0" borderId="8" xfId="0" applyNumberFormat="1" applyFont="1" applyBorder="1" applyAlignment="1">
      <alignment vertical="top" wrapText="1"/>
    </xf>
    <xf numFmtId="0" fontId="78" fillId="0" borderId="27" xfId="0" applyNumberFormat="1" applyFont="1" applyBorder="1" applyAlignment="1">
      <alignment horizontal="left" vertical="top" wrapText="1"/>
    </xf>
    <xf numFmtId="49" fontId="78" fillId="0" borderId="21" xfId="0" applyNumberFormat="1" applyFont="1" applyBorder="1" applyAlignment="1">
      <alignment horizontal="left" vertical="top" wrapText="1"/>
    </xf>
    <xf numFmtId="49" fontId="30" fillId="0" borderId="0" xfId="0" applyNumberFormat="1" applyFont="1" applyAlignment="1">
      <alignment horizontal="center" vertical="center" wrapText="1"/>
    </xf>
    <xf numFmtId="49" fontId="31" fillId="0" borderId="0" xfId="0" applyNumberFormat="1" applyFont="1" applyAlignment="1">
      <alignment horizontal="center" vertical="center" wrapText="1"/>
    </xf>
    <xf numFmtId="0" fontId="6" fillId="0" borderId="3" xfId="0" applyNumberFormat="1" applyFont="1" applyBorder="1" applyAlignment="1">
      <alignment horizontal="left" vertical="center" wrapText="1"/>
    </xf>
    <xf numFmtId="49" fontId="78" fillId="0" borderId="3" xfId="0" applyNumberFormat="1" applyFont="1" applyBorder="1" applyAlignment="1">
      <alignment horizontal="center" vertical="top" wrapText="1"/>
    </xf>
    <xf numFmtId="0" fontId="78" fillId="14" borderId="3" xfId="0" applyNumberFormat="1" applyFont="1" applyFill="1" applyBorder="1" applyAlignment="1">
      <alignment horizontal="center" vertical="center" wrapText="1"/>
    </xf>
    <xf numFmtId="49" fontId="78" fillId="0" borderId="28" xfId="0" applyNumberFormat="1" applyFont="1" applyBorder="1" applyAlignment="1">
      <alignment horizontal="center" vertical="top" wrapText="1"/>
    </xf>
    <xf numFmtId="49" fontId="78" fillId="0" borderId="8" xfId="0" applyNumberFormat="1" applyFont="1" applyBorder="1" applyAlignment="1">
      <alignment horizontal="center" vertical="top" wrapText="1"/>
    </xf>
    <xf numFmtId="49" fontId="23"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6" fillId="8" borderId="8" xfId="0" applyNumberFormat="1" applyFont="1" applyFill="1" applyBorder="1" applyAlignment="1">
      <alignment horizontal="center" vertical="center" wrapText="1"/>
    </xf>
    <xf numFmtId="49" fontId="81" fillId="0" borderId="0" xfId="0" applyNumberFormat="1" applyFont="1" applyAlignment="1">
      <alignment horizontal="center" vertical="center" wrapText="1"/>
    </xf>
    <xf numFmtId="0" fontId="6" fillId="0" borderId="0" xfId="0" applyNumberFormat="1" applyFont="1" applyAlignment="1">
      <alignment vertical="center" wrapText="1"/>
    </xf>
    <xf numFmtId="49" fontId="6" fillId="0" borderId="0" xfId="0" applyNumberFormat="1" applyFont="1">
      <alignment vertical="top"/>
    </xf>
    <xf numFmtId="0" fontId="6" fillId="8" borderId="0" xfId="0" applyNumberFormat="1" applyFont="1" applyFill="1" applyAlignment="1">
      <alignment vertical="center" wrapText="1"/>
    </xf>
    <xf numFmtId="0" fontId="6" fillId="0" borderId="29" xfId="0" applyNumberFormat="1" applyFont="1" applyBorder="1" applyAlignment="1">
      <alignment vertical="center" wrapText="1"/>
    </xf>
    <xf numFmtId="0" fontId="30" fillId="0" borderId="0" xfId="0" applyNumberFormat="1" applyFont="1" applyAlignment="1">
      <alignment vertical="center" wrapText="1"/>
    </xf>
    <xf numFmtId="49" fontId="6" fillId="0" borderId="0" xfId="0" applyNumberFormat="1" applyFont="1">
      <alignment vertical="top"/>
    </xf>
    <xf numFmtId="0" fontId="6" fillId="8" borderId="0" xfId="0" applyNumberFormat="1" applyFont="1" applyFill="1" applyAlignment="1">
      <alignment vertical="center" wrapText="1"/>
    </xf>
    <xf numFmtId="49" fontId="6" fillId="0" borderId="0" xfId="0" applyNumberFormat="1" applyFont="1">
      <alignment vertical="top"/>
    </xf>
    <xf numFmtId="0" fontId="6"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6" fillId="10" borderId="20" xfId="0" applyNumberFormat="1" applyFont="1" applyFill="1" applyBorder="1" applyAlignment="1">
      <alignment vertical="center" wrapText="1"/>
    </xf>
    <xf numFmtId="0" fontId="6" fillId="0" borderId="0" xfId="0" applyNumberFormat="1" applyFont="1" applyAlignment="1">
      <alignment vertical="center" wrapText="1"/>
    </xf>
    <xf numFmtId="0" fontId="6" fillId="8" borderId="30" xfId="0" applyNumberFormat="1" applyFont="1" applyFill="1" applyBorder="1" applyAlignment="1">
      <alignment vertical="center" wrapText="1"/>
    </xf>
    <xf numFmtId="0" fontId="33" fillId="8" borderId="30" xfId="0" applyNumberFormat="1" applyFont="1" applyFill="1" applyBorder="1" applyAlignment="1">
      <alignment horizontal="center" wrapText="1"/>
    </xf>
    <xf numFmtId="49" fontId="56" fillId="0" borderId="30" xfId="0" applyNumberFormat="1" applyFont="1" applyBorder="1">
      <alignment vertical="top"/>
    </xf>
    <xf numFmtId="49" fontId="28" fillId="0" borderId="0" xfId="0" applyNumberFormat="1" applyFont="1" applyAlignment="1">
      <alignment vertical="center"/>
    </xf>
    <xf numFmtId="49" fontId="82" fillId="0" borderId="0" xfId="0" applyNumberFormat="1" applyFont="1" applyAlignment="1">
      <alignment vertical="center"/>
    </xf>
    <xf numFmtId="49" fontId="28" fillId="0" borderId="0" xfId="0" applyNumberFormat="1" applyFont="1" applyAlignment="1">
      <alignment vertical="center"/>
    </xf>
    <xf numFmtId="49" fontId="28" fillId="0" borderId="0" xfId="0" applyNumberFormat="1" applyFont="1" applyAlignment="1">
      <alignment vertical="center"/>
    </xf>
    <xf numFmtId="49" fontId="28" fillId="0" borderId="0" xfId="0" applyNumberFormat="1" applyFont="1" applyAlignment="1">
      <alignment vertical="center" wrapText="1"/>
    </xf>
    <xf numFmtId="49" fontId="82"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49" fontId="28" fillId="0" borderId="0" xfId="0" applyNumberFormat="1" applyFont="1" applyAlignment="1">
      <alignment vertical="center" wrapText="1"/>
    </xf>
    <xf numFmtId="49" fontId="28" fillId="0" borderId="0" xfId="0" applyNumberFormat="1" applyFont="1" applyAlignment="1">
      <alignment horizontal="center" vertical="center" wrapText="1"/>
    </xf>
    <xf numFmtId="49" fontId="82"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82"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82" fillId="0" borderId="0" xfId="0" applyNumberFormat="1" applyFont="1" applyAlignment="1">
      <alignment vertical="center" wrapText="1"/>
    </xf>
    <xf numFmtId="49" fontId="28" fillId="8" borderId="0" xfId="0" applyNumberFormat="1" applyFont="1" applyFill="1" applyAlignment="1">
      <alignment vertical="center" wrapText="1"/>
    </xf>
    <xf numFmtId="49" fontId="28" fillId="0" borderId="0" xfId="0" applyNumberFormat="1" applyFont="1">
      <alignment vertical="top"/>
    </xf>
    <xf numFmtId="49" fontId="28" fillId="8" borderId="0" xfId="0" applyNumberFormat="1" applyFont="1" applyFill="1" applyAlignment="1">
      <alignment vertical="center"/>
    </xf>
    <xf numFmtId="49" fontId="82" fillId="0" borderId="0" xfId="0" applyNumberFormat="1" applyFont="1" applyAlignment="1">
      <alignment vertical="center"/>
    </xf>
    <xf numFmtId="49" fontId="28" fillId="0" borderId="0" xfId="0" applyNumberFormat="1" applyFont="1">
      <alignment vertical="top"/>
    </xf>
    <xf numFmtId="4" fontId="28" fillId="8" borderId="0" xfId="0" applyNumberFormat="1" applyFont="1" applyFill="1" applyAlignment="1">
      <alignment vertical="center"/>
    </xf>
    <xf numFmtId="49" fontId="15" fillId="0" borderId="0" xfId="0" applyNumberFormat="1" applyFont="1" applyAlignment="1">
      <alignment horizontal="center" vertical="center" wrapText="1"/>
    </xf>
    <xf numFmtId="49" fontId="6" fillId="0" borderId="0" xfId="0" applyNumberFormat="1" applyFont="1" applyAlignment="1">
      <alignment horizontal="center" vertical="center" wrapText="1"/>
    </xf>
    <xf numFmtId="49" fontId="6" fillId="8" borderId="0" xfId="0" applyNumberFormat="1" applyFont="1" applyFill="1" applyAlignment="1">
      <alignment horizontal="center" vertical="center" wrapText="1"/>
    </xf>
    <xf numFmtId="49" fontId="31" fillId="0" borderId="4" xfId="0" applyNumberFormat="1" applyFont="1" applyBorder="1" applyAlignment="1">
      <alignment horizontal="left" vertical="center" indent="1"/>
    </xf>
    <xf numFmtId="0" fontId="6" fillId="0" borderId="15" xfId="0" applyNumberFormat="1" applyFont="1" applyBorder="1" applyAlignment="1">
      <alignment vertical="top" wrapText="1"/>
    </xf>
    <xf numFmtId="0" fontId="6" fillId="0" borderId="5" xfId="0" applyNumberFormat="1" applyFont="1" applyBorder="1" applyAlignment="1">
      <alignment horizontal="center" vertical="center" wrapText="1"/>
    </xf>
    <xf numFmtId="0" fontId="6" fillId="0" borderId="8" xfId="0" applyNumberFormat="1" applyFont="1" applyBorder="1" applyAlignment="1">
      <alignment horizontal="center" vertical="center" wrapText="1"/>
    </xf>
    <xf numFmtId="0" fontId="6" fillId="0" borderId="3"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49" fontId="31" fillId="0" borderId="0" xfId="0" applyNumberFormat="1" applyFont="1" applyAlignment="1">
      <alignment horizontal="center" vertical="center" wrapText="1"/>
    </xf>
    <xf numFmtId="49" fontId="6" fillId="0" borderId="3" xfId="0" applyNumberFormat="1" applyFont="1" applyBorder="1" applyAlignment="1">
      <alignment horizontal="center" vertical="center" wrapText="1"/>
    </xf>
    <xf numFmtId="0" fontId="6" fillId="0" borderId="3" xfId="0" applyNumberFormat="1" applyFont="1" applyBorder="1" applyAlignment="1">
      <alignment horizontal="left" vertical="center" wrapText="1" indent="1"/>
    </xf>
    <xf numFmtId="49" fontId="6" fillId="12" borderId="3" xfId="0" applyNumberFormat="1" applyFont="1" applyFill="1" applyBorder="1" applyAlignment="1" applyProtection="1">
      <alignment horizontal="left" vertical="center" wrapText="1"/>
      <protection locked="0"/>
    </xf>
    <xf numFmtId="0" fontId="20" fillId="0" borderId="0" xfId="0" applyNumberFormat="1" applyFont="1" applyAlignment="1">
      <alignment horizontal="center" vertical="center" wrapText="1"/>
    </xf>
    <xf numFmtId="49" fontId="74" fillId="0" borderId="3" xfId="0" applyNumberFormat="1" applyFont="1" applyBorder="1" applyAlignment="1">
      <alignment horizontal="center" vertical="center" wrapText="1"/>
    </xf>
    <xf numFmtId="0" fontId="74" fillId="0" borderId="3" xfId="0" applyNumberFormat="1" applyFont="1" applyBorder="1" applyAlignment="1">
      <alignment horizontal="center" vertical="center" wrapText="1"/>
    </xf>
    <xf numFmtId="49" fontId="74" fillId="0" borderId="8" xfId="0" applyNumberFormat="1" applyFont="1" applyBorder="1" applyAlignment="1">
      <alignment horizontal="center" vertical="center" wrapText="1"/>
    </xf>
    <xf numFmtId="49" fontId="74" fillId="0" borderId="14" xfId="0" applyNumberFormat="1" applyFont="1" applyBorder="1" applyAlignment="1">
      <alignment horizontal="center" vertical="center" wrapText="1"/>
    </xf>
    <xf numFmtId="0" fontId="74" fillId="0" borderId="8" xfId="0" applyNumberFormat="1" applyFont="1" applyBorder="1" applyAlignment="1">
      <alignment horizontal="center" vertical="center" wrapText="1"/>
    </xf>
    <xf numFmtId="49" fontId="78" fillId="0" borderId="13" xfId="0" applyNumberFormat="1" applyFont="1" applyBorder="1" applyAlignment="1">
      <alignment horizontal="center" vertical="top" wrapText="1"/>
    </xf>
    <xf numFmtId="49" fontId="78" fillId="0" borderId="27" xfId="0" applyNumberFormat="1" applyFont="1" applyBorder="1" applyAlignment="1">
      <alignment horizontal="left" vertical="top" wrapText="1"/>
    </xf>
    <xf numFmtId="0" fontId="74" fillId="0" borderId="3" xfId="0" applyNumberFormat="1" applyFont="1" applyBorder="1" applyAlignment="1">
      <alignment vertical="center" wrapText="1"/>
    </xf>
    <xf numFmtId="0" fontId="74" fillId="0" borderId="8" xfId="0" applyNumberFormat="1" applyFont="1" applyBorder="1" applyAlignment="1">
      <alignment vertical="center" wrapText="1"/>
    </xf>
    <xf numFmtId="0" fontId="74" fillId="0" borderId="14" xfId="0" applyNumberFormat="1" applyFont="1" applyBorder="1" applyAlignment="1">
      <alignment vertical="center" wrapText="1"/>
    </xf>
    <xf numFmtId="49" fontId="74" fillId="0" borderId="3" xfId="0" applyNumberFormat="1" applyFont="1" applyBorder="1" applyAlignment="1">
      <alignment horizontal="left" vertical="top" wrapText="1"/>
    </xf>
    <xf numFmtId="166" fontId="6" fillId="12" borderId="8" xfId="0" applyNumberFormat="1" applyFont="1" applyFill="1" applyBorder="1" applyAlignment="1" applyProtection="1">
      <alignment horizontal="right" vertical="center" wrapText="1"/>
      <protection locked="0"/>
    </xf>
    <xf numFmtId="0" fontId="6" fillId="0" borderId="4" xfId="0" applyNumberFormat="1" applyFont="1" applyBorder="1" applyAlignment="1">
      <alignment horizontal="center" vertical="center" wrapText="1"/>
    </xf>
    <xf numFmtId="0" fontId="6" fillId="0" borderId="11" xfId="0" applyNumberFormat="1" applyFont="1" applyBorder="1" applyAlignment="1">
      <alignment horizontal="center" vertical="center" wrapText="1"/>
    </xf>
    <xf numFmtId="49" fontId="6" fillId="10" borderId="28" xfId="0" applyNumberFormat="1" applyFont="1" applyFill="1" applyBorder="1" applyAlignment="1">
      <alignment vertical="center" wrapText="1"/>
    </xf>
    <xf numFmtId="49" fontId="23" fillId="10" borderId="10" xfId="0" applyNumberFormat="1" applyFont="1" applyFill="1" applyBorder="1" applyAlignment="1">
      <alignment horizontal="left" vertical="center" indent="1"/>
    </xf>
    <xf numFmtId="49" fontId="6" fillId="10" borderId="28" xfId="0" applyNumberFormat="1" applyFont="1" applyFill="1" applyBorder="1" applyAlignment="1">
      <alignment vertical="center" wrapText="1"/>
    </xf>
    <xf numFmtId="49" fontId="23" fillId="10" borderId="10" xfId="0" applyNumberFormat="1" applyFont="1" applyFill="1" applyBorder="1" applyAlignment="1">
      <alignment horizontal="left" vertical="center" indent="1"/>
    </xf>
    <xf numFmtId="0" fontId="55" fillId="0" borderId="0" xfId="0" applyNumberFormat="1" applyFont="1" applyAlignment="1">
      <alignment horizontal="center" vertical="center" wrapText="1"/>
    </xf>
    <xf numFmtId="4" fontId="6" fillId="12" borderId="4" xfId="0" applyNumberFormat="1" applyFont="1" applyFill="1" applyBorder="1" applyAlignment="1" applyProtection="1">
      <alignment horizontal="right" vertical="center" wrapText="1"/>
      <protection locked="0"/>
    </xf>
    <xf numFmtId="166" fontId="6" fillId="12" borderId="4" xfId="0" applyNumberFormat="1" applyFont="1" applyFill="1" applyBorder="1" applyAlignment="1" applyProtection="1">
      <alignment horizontal="right" vertical="center" wrapText="1"/>
      <protection locked="0"/>
    </xf>
    <xf numFmtId="166" fontId="6" fillId="7" borderId="4" xfId="0" applyNumberFormat="1" applyFont="1" applyFill="1" applyBorder="1" applyAlignment="1">
      <alignment horizontal="right" vertical="center" wrapText="1"/>
    </xf>
    <xf numFmtId="4" fontId="6" fillId="12" borderId="20" xfId="0" applyNumberFormat="1" applyFont="1" applyFill="1" applyBorder="1" applyAlignment="1" applyProtection="1">
      <alignment horizontal="right" vertical="center" wrapText="1"/>
      <protection locked="0"/>
    </xf>
    <xf numFmtId="49" fontId="74" fillId="14" borderId="3" xfId="0" applyNumberFormat="1" applyFont="1" applyFill="1" applyBorder="1" applyAlignment="1">
      <alignment horizontal="center" vertical="top"/>
    </xf>
    <xf numFmtId="49" fontId="74" fillId="0" borderId="3" xfId="0" applyNumberFormat="1" applyFont="1" applyBorder="1" applyAlignment="1">
      <alignment horizontal="center" vertical="top" wrapText="1"/>
    </xf>
    <xf numFmtId="49" fontId="74" fillId="0" borderId="3" xfId="0" applyNumberFormat="1" applyFont="1" applyBorder="1" applyAlignment="1">
      <alignment vertical="top" wrapText="1"/>
    </xf>
    <xf numFmtId="0" fontId="74" fillId="0" borderId="3" xfId="0" applyNumberFormat="1" applyFont="1" applyBorder="1" applyAlignment="1">
      <alignment vertical="top" wrapText="1"/>
    </xf>
    <xf numFmtId="49" fontId="74" fillId="0" borderId="3" xfId="0" applyNumberFormat="1" applyFont="1" applyBorder="1">
      <alignment vertical="top"/>
    </xf>
    <xf numFmtId="49" fontId="78" fillId="0" borderId="3" xfId="0" applyNumberFormat="1" applyFont="1" applyBorder="1">
      <alignment vertical="top"/>
    </xf>
    <xf numFmtId="49" fontId="74" fillId="0" borderId="0" xfId="0" applyNumberFormat="1" applyFont="1" applyAlignment="1">
      <alignment horizontal="center" vertical="center" wrapText="1"/>
    </xf>
    <xf numFmtId="49" fontId="74" fillId="0" borderId="0" xfId="0" applyNumberFormat="1" applyFont="1" applyAlignment="1">
      <alignment horizontal="left" vertical="center" wrapText="1"/>
    </xf>
    <xf numFmtId="49" fontId="74" fillId="19" borderId="0" xfId="0" applyNumberFormat="1" applyFont="1" applyFill="1" applyAlignment="1">
      <alignment horizontal="center" vertical="center" wrapText="1"/>
    </xf>
    <xf numFmtId="0" fontId="74" fillId="0" borderId="0" xfId="0" applyNumberFormat="1" applyFont="1" applyAlignment="1">
      <alignment vertical="center" wrapText="1"/>
    </xf>
    <xf numFmtId="0" fontId="31" fillId="0" borderId="3" xfId="0" applyNumberFormat="1" applyFont="1" applyBorder="1" applyAlignment="1">
      <alignment horizontal="left" vertical="center" wrapText="1" indent="3"/>
    </xf>
    <xf numFmtId="49" fontId="31" fillId="0" borderId="3" xfId="0" applyNumberFormat="1" applyFont="1" applyBorder="1" applyAlignment="1">
      <alignment vertical="center" wrapText="1"/>
    </xf>
    <xf numFmtId="0" fontId="31" fillId="0" borderId="8" xfId="0" applyNumberFormat="1" applyFont="1" applyBorder="1" applyAlignment="1">
      <alignment vertical="top" wrapText="1"/>
    </xf>
    <xf numFmtId="0" fontId="31" fillId="0" borderId="27" xfId="0" applyNumberFormat="1" applyFont="1" applyBorder="1" applyAlignment="1">
      <alignment horizontal="left" vertical="center" wrapText="1" indent="1"/>
    </xf>
    <xf numFmtId="0" fontId="31" fillId="0" borderId="27" xfId="0" applyNumberFormat="1" applyFont="1" applyBorder="1" applyAlignment="1">
      <alignment horizontal="center" vertical="center" wrapText="1"/>
    </xf>
    <xf numFmtId="0" fontId="31" fillId="0" borderId="8" xfId="0" applyNumberFormat="1" applyFont="1" applyBorder="1" applyAlignment="1">
      <alignment vertical="center" wrapText="1"/>
    </xf>
    <xf numFmtId="0" fontId="31" fillId="0" borderId="14" xfId="0" applyNumberFormat="1" applyFont="1" applyBorder="1" applyAlignment="1">
      <alignment horizontal="left" vertical="center" wrapText="1" indent="1"/>
    </xf>
    <xf numFmtId="0" fontId="31" fillId="0" borderId="8" xfId="0" applyNumberFormat="1" applyFont="1" applyBorder="1" applyAlignment="1">
      <alignment horizontal="left" vertical="center" wrapText="1" indent="1"/>
    </xf>
    <xf numFmtId="49" fontId="78" fillId="14" borderId="3" xfId="0" applyNumberFormat="1" applyFont="1" applyFill="1" applyBorder="1" applyAlignment="1">
      <alignment horizontal="center" vertical="top" wrapText="1"/>
    </xf>
    <xf numFmtId="49" fontId="78" fillId="14" borderId="3" xfId="0" applyNumberFormat="1" applyFont="1" applyFill="1" applyBorder="1" applyAlignment="1">
      <alignment horizontal="left" vertical="top" wrapText="1"/>
    </xf>
    <xf numFmtId="0" fontId="74" fillId="0" borderId="5" xfId="0" applyNumberFormat="1" applyFont="1" applyBorder="1" applyAlignment="1">
      <alignment horizontal="center" vertical="center" wrapText="1"/>
    </xf>
    <xf numFmtId="0" fontId="6" fillId="0" borderId="14" xfId="0" applyNumberFormat="1" applyFont="1" applyBorder="1" applyAlignment="1">
      <alignment vertical="top" wrapText="1"/>
    </xf>
    <xf numFmtId="0" fontId="6" fillId="0" borderId="14" xfId="0" applyNumberFormat="1" applyFont="1" applyBorder="1" applyAlignment="1">
      <alignment vertical="top" wrapText="1"/>
    </xf>
    <xf numFmtId="0" fontId="74" fillId="0" borderId="5" xfId="0" applyNumberFormat="1" applyFont="1" applyBorder="1" applyAlignment="1">
      <alignment horizontal="center" vertical="center"/>
    </xf>
    <xf numFmtId="49" fontId="31" fillId="8" borderId="3" xfId="0" applyNumberFormat="1" applyFont="1" applyFill="1" applyBorder="1" applyAlignment="1">
      <alignment horizontal="center" vertical="center"/>
    </xf>
    <xf numFmtId="0" fontId="31" fillId="8" borderId="3" xfId="0" applyNumberFormat="1" applyFont="1" applyFill="1" applyBorder="1" applyAlignment="1">
      <alignment horizontal="left" vertical="center" wrapText="1" indent="1"/>
    </xf>
    <xf numFmtId="0" fontId="31" fillId="8" borderId="3" xfId="0" applyNumberFormat="1" applyFont="1" applyFill="1" applyBorder="1" applyAlignment="1">
      <alignment vertical="center" wrapText="1"/>
    </xf>
    <xf numFmtId="49" fontId="31" fillId="0" borderId="3" xfId="0" applyNumberFormat="1" applyFont="1" applyBorder="1" applyAlignment="1">
      <alignment horizontal="center" vertical="center"/>
    </xf>
    <xf numFmtId="0" fontId="31" fillId="0" borderId="3" xfId="0" applyNumberFormat="1" applyFont="1" applyBorder="1" applyAlignment="1">
      <alignment horizontal="left" vertical="center" wrapText="1" indent="1"/>
    </xf>
    <xf numFmtId="0" fontId="31" fillId="0" borderId="3" xfId="0" applyNumberFormat="1" applyFont="1" applyBorder="1" applyAlignment="1">
      <alignment horizontal="left" vertical="center" wrapText="1"/>
    </xf>
    <xf numFmtId="0" fontId="31" fillId="0" borderId="3" xfId="0" applyNumberFormat="1" applyFont="1" applyBorder="1" applyAlignment="1">
      <alignment vertical="center" wrapText="1"/>
    </xf>
    <xf numFmtId="0" fontId="31" fillId="0" borderId="3" xfId="0" applyNumberFormat="1" applyFont="1" applyBorder="1" applyAlignment="1">
      <alignment horizontal="center" vertical="center" wrapText="1"/>
    </xf>
    <xf numFmtId="0" fontId="31" fillId="8" borderId="3" xfId="0" applyNumberFormat="1" applyFont="1" applyFill="1" applyBorder="1" applyAlignment="1">
      <alignment horizontal="left" vertical="center" wrapText="1" indent="2"/>
    </xf>
    <xf numFmtId="49" fontId="31" fillId="0" borderId="3" xfId="0" applyNumberFormat="1" applyFont="1" applyBorder="1" applyAlignment="1">
      <alignment horizontal="left" vertical="center" wrapText="1"/>
    </xf>
    <xf numFmtId="49" fontId="31" fillId="0" borderId="3" xfId="0" applyNumberFormat="1" applyFont="1" applyBorder="1" applyAlignment="1">
      <alignment horizontal="left" vertical="center" wrapText="1"/>
    </xf>
    <xf numFmtId="2" fontId="6" fillId="0" borderId="14" xfId="0" applyNumberFormat="1" applyFont="1" applyBorder="1" applyAlignment="1">
      <alignment horizontal="center" vertical="center" wrapText="1"/>
    </xf>
    <xf numFmtId="0" fontId="83" fillId="0" borderId="0" xfId="0" applyNumberFormat="1" applyFont="1" applyAlignment="1">
      <alignment horizontal="center" vertical="center" wrapText="1"/>
    </xf>
    <xf numFmtId="0" fontId="84" fillId="8" borderId="0" xfId="0" applyNumberFormat="1" applyFont="1" applyFill="1" applyAlignment="1">
      <alignment horizontal="right" vertical="center"/>
    </xf>
    <xf numFmtId="0" fontId="6" fillId="0" borderId="14"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1" fillId="0" borderId="18" xfId="0" applyNumberFormat="1" applyFont="1" applyBorder="1" applyAlignment="1">
      <alignment vertical="center" wrapText="1"/>
    </xf>
    <xf numFmtId="49" fontId="36" fillId="0" borderId="5" xfId="0" applyNumberFormat="1" applyFont="1" applyBorder="1" applyAlignment="1">
      <alignment horizontal="left" vertical="center" wrapText="1"/>
    </xf>
    <xf numFmtId="49" fontId="36" fillId="0" borderId="6" xfId="0" applyNumberFormat="1" applyFont="1" applyBorder="1" applyAlignment="1">
      <alignment horizontal="left" vertical="center" wrapText="1"/>
    </xf>
    <xf numFmtId="49" fontId="31"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 fontId="6" fillId="0" borderId="8" xfId="0" applyNumberFormat="1" applyFont="1" applyBorder="1" applyAlignment="1">
      <alignment horizontal="center" vertical="center" wrapText="1"/>
    </xf>
    <xf numFmtId="4" fontId="6" fillId="0" borderId="23" xfId="0" applyNumberFormat="1" applyFont="1" applyBorder="1" applyAlignment="1">
      <alignment horizontal="center" vertical="center" wrapText="1"/>
    </xf>
    <xf numFmtId="49" fontId="36" fillId="0" borderId="28" xfId="0" applyNumberFormat="1" applyFont="1" applyBorder="1" applyAlignment="1">
      <alignment horizontal="left" vertical="center" wrapText="1"/>
    </xf>
    <xf numFmtId="49" fontId="36" fillId="0" borderId="21" xfId="0" applyNumberFormat="1" applyFont="1" applyBorder="1" applyAlignment="1">
      <alignment horizontal="left" vertical="center" wrapText="1"/>
    </xf>
    <xf numFmtId="0" fontId="6" fillId="0" borderId="27" xfId="0" applyNumberFormat="1" applyFont="1" applyBorder="1" applyAlignment="1">
      <alignment vertical="center" wrapText="1"/>
    </xf>
    <xf numFmtId="0" fontId="6" fillId="0" borderId="23"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6" fillId="0" borderId="0" xfId="0" applyNumberFormat="1" applyFont="1" applyAlignment="1">
      <alignment vertical="top" wrapText="1"/>
    </xf>
    <xf numFmtId="0" fontId="6" fillId="0" borderId="0" xfId="0" applyNumberFormat="1" applyFont="1">
      <alignment vertical="top"/>
    </xf>
    <xf numFmtId="4" fontId="6" fillId="0" borderId="31" xfId="0" applyNumberFormat="1" applyFont="1" applyBorder="1" applyAlignment="1">
      <alignment horizontal="center" vertical="center" wrapText="1"/>
    </xf>
    <xf numFmtId="0" fontId="31" fillId="0" borderId="0" xfId="0" applyNumberFormat="1" applyFont="1" applyAlignment="1">
      <alignment horizontal="center" vertical="top"/>
    </xf>
    <xf numFmtId="49" fontId="31" fillId="0" borderId="0" xfId="0" applyNumberFormat="1" applyFont="1">
      <alignment vertical="top"/>
    </xf>
    <xf numFmtId="0" fontId="31" fillId="0" borderId="14" xfId="0" applyNumberFormat="1" applyFont="1" applyBorder="1" applyAlignment="1">
      <alignment vertical="center" wrapText="1"/>
    </xf>
    <xf numFmtId="4" fontId="31" fillId="0" borderId="3" xfId="0" applyNumberFormat="1" applyFont="1" applyBorder="1" applyAlignment="1">
      <alignment horizontal="right" vertical="center" wrapText="1"/>
    </xf>
    <xf numFmtId="2" fontId="31" fillId="0" borderId="14" xfId="0" applyNumberFormat="1" applyFont="1" applyBorder="1" applyAlignment="1">
      <alignment horizontal="center" vertical="center" wrapText="1"/>
    </xf>
    <xf numFmtId="0" fontId="31" fillId="0" borderId="3" xfId="0" applyNumberFormat="1" applyFont="1" applyBorder="1" applyAlignment="1">
      <alignment horizontal="left" vertical="center" wrapText="1"/>
    </xf>
    <xf numFmtId="49" fontId="31" fillId="0" borderId="5" xfId="0" applyNumberFormat="1" applyFont="1" applyBorder="1" applyAlignment="1">
      <alignment horizontal="left" vertical="center"/>
    </xf>
    <xf numFmtId="49" fontId="31" fillId="0" borderId="6" xfId="0" applyNumberFormat="1" applyFont="1" applyBorder="1" applyAlignment="1">
      <alignment horizontal="left" vertical="center" indent="1"/>
    </xf>
    <xf numFmtId="49" fontId="31" fillId="0" borderId="6" xfId="0" applyNumberFormat="1" applyFont="1" applyBorder="1" applyAlignment="1">
      <alignment horizontal="left" vertical="center"/>
    </xf>
    <xf numFmtId="0" fontId="31" fillId="0" borderId="3" xfId="0" applyNumberFormat="1" applyFont="1" applyBorder="1" applyAlignment="1">
      <alignment horizontal="left" vertical="center" indent="1"/>
    </xf>
    <xf numFmtId="49" fontId="23" fillId="0" borderId="10" xfId="0" applyNumberFormat="1" applyFont="1" applyBorder="1" applyAlignment="1">
      <alignment horizontal="right" vertical="center"/>
    </xf>
    <xf numFmtId="0" fontId="6" fillId="13" borderId="3" xfId="0" applyNumberFormat="1" applyFont="1" applyFill="1" applyBorder="1" applyAlignment="1">
      <alignment horizontal="left" vertical="center" wrapText="1" indent="1"/>
    </xf>
    <xf numFmtId="0" fontId="6" fillId="0" borderId="3" xfId="0" applyNumberFormat="1" applyFont="1" applyBorder="1" applyAlignment="1">
      <alignment horizontal="center" vertical="center" wrapText="1"/>
    </xf>
    <xf numFmtId="0" fontId="31"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31" fillId="0" borderId="0" xfId="0" applyNumberFormat="1" applyFont="1" applyAlignment="1">
      <alignment horizontal="center" vertical="center" wrapText="1"/>
    </xf>
    <xf numFmtId="0" fontId="44" fillId="8" borderId="0" xfId="0" applyNumberFormat="1" applyFont="1" applyFill="1" applyAlignment="1">
      <alignment horizontal="left" vertical="center" wrapText="1" indent="1"/>
    </xf>
    <xf numFmtId="0" fontId="6" fillId="0" borderId="0" xfId="0" applyNumberFormat="1" applyFont="1" applyAlignment="1">
      <alignment horizontal="left" vertical="center" wrapText="1" indent="1"/>
    </xf>
    <xf numFmtId="49" fontId="36" fillId="9" borderId="4" xfId="0" applyNumberFormat="1" applyFont="1" applyFill="1" applyBorder="1" applyAlignment="1" applyProtection="1">
      <alignment horizontal="left" vertical="center" wrapText="1"/>
      <protection locked="0"/>
    </xf>
    <xf numFmtId="49" fontId="6" fillId="0" borderId="0" xfId="0" applyNumberFormat="1" applyFont="1" applyAlignment="1">
      <alignment horizontal="center" vertical="center" wrapText="1"/>
    </xf>
    <xf numFmtId="0" fontId="6" fillId="0" borderId="10" xfId="0" applyNumberFormat="1" applyFont="1" applyBorder="1" applyAlignment="1">
      <alignment vertical="center" wrapText="1"/>
    </xf>
    <xf numFmtId="0" fontId="6" fillId="0" borderId="18" xfId="0" applyNumberFormat="1" applyFont="1" applyBorder="1" applyAlignment="1">
      <alignment vertical="center" wrapText="1"/>
    </xf>
    <xf numFmtId="49" fontId="6" fillId="10" borderId="32" xfId="0" applyNumberFormat="1" applyFont="1" applyFill="1" applyBorder="1" applyAlignment="1">
      <alignment horizontal="center" vertical="center" wrapText="1"/>
    </xf>
    <xf numFmtId="49" fontId="33" fillId="10" borderId="33" xfId="0" applyNumberFormat="1" applyFont="1" applyFill="1" applyBorder="1" applyAlignment="1">
      <alignment horizontal="right" vertical="center" wrapText="1"/>
    </xf>
    <xf numFmtId="49" fontId="33" fillId="10" borderId="34" xfId="0" applyNumberFormat="1" applyFont="1" applyFill="1" applyBorder="1" applyAlignment="1">
      <alignment horizontal="right" vertical="center" wrapText="1"/>
    </xf>
    <xf numFmtId="49" fontId="28" fillId="0" borderId="0" xfId="0" applyNumberFormat="1" applyFont="1">
      <alignment vertical="top"/>
    </xf>
    <xf numFmtId="49" fontId="28" fillId="0" borderId="0" xfId="0" applyNumberFormat="1" applyFont="1" applyAlignment="1">
      <alignment vertical="center" wrapText="1"/>
    </xf>
    <xf numFmtId="0" fontId="28" fillId="0" borderId="0" xfId="0" applyNumberFormat="1" applyFont="1" applyAlignment="1">
      <alignment vertical="center" wrapText="1"/>
    </xf>
    <xf numFmtId="49" fontId="77" fillId="0" borderId="0" xfId="0" applyNumberFormat="1" applyFont="1" applyAlignment="1">
      <alignment vertical="center" wrapText="1"/>
    </xf>
    <xf numFmtId="49" fontId="15"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30" fillId="20" borderId="3" xfId="0" applyNumberFormat="1" applyFont="1" applyFill="1" applyBorder="1" applyAlignment="1">
      <alignment horizontal="center" vertical="center"/>
    </xf>
    <xf numFmtId="49" fontId="30"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6" fillId="0" borderId="0" xfId="0" applyNumberFormat="1" applyFont="1">
      <alignment vertical="top"/>
    </xf>
    <xf numFmtId="0" fontId="6"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6" fillId="0" borderId="35" xfId="0" applyNumberFormat="1" applyFont="1" applyBorder="1" applyAlignment="1">
      <alignment vertical="center"/>
    </xf>
    <xf numFmtId="49" fontId="6"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6" fillId="0" borderId="4" xfId="0" applyNumberFormat="1" applyFont="1" applyBorder="1" applyAlignment="1">
      <alignment vertical="center"/>
    </xf>
    <xf numFmtId="49" fontId="6" fillId="0" borderId="3" xfId="0" applyNumberFormat="1" applyFont="1" applyBorder="1" applyAlignment="1">
      <alignment vertical="center"/>
    </xf>
    <xf numFmtId="0" fontId="0" fillId="0" borderId="0" xfId="0" applyNumberFormat="1" applyFont="1">
      <alignment vertical="top"/>
    </xf>
    <xf numFmtId="0" fontId="6" fillId="0" borderId="3" xfId="0" applyNumberFormat="1" applyFont="1" applyBorder="1">
      <alignment vertical="top"/>
    </xf>
    <xf numFmtId="49" fontId="6" fillId="0" borderId="3" xfId="0" applyNumberFormat="1" applyFont="1" applyBorder="1">
      <alignment vertical="top"/>
    </xf>
    <xf numFmtId="0" fontId="6" fillId="0" borderId="0" xfId="0" applyNumberFormat="1" applyFont="1" applyAlignment="1">
      <alignment vertical="center"/>
    </xf>
    <xf numFmtId="49" fontId="6" fillId="0" borderId="5" xfId="0" applyNumberFormat="1" applyFont="1" applyBorder="1">
      <alignment vertical="top"/>
    </xf>
    <xf numFmtId="0" fontId="0" fillId="0" borderId="0" xfId="0" applyNumberFormat="1" applyFont="1" applyAlignment="1">
      <alignment vertical="center"/>
    </xf>
    <xf numFmtId="0" fontId="6" fillId="0" borderId="0" xfId="0" applyNumberFormat="1" applyFont="1">
      <alignment vertical="top"/>
    </xf>
    <xf numFmtId="49" fontId="6"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6" fillId="0" borderId="8" xfId="0" applyNumberFormat="1" applyFont="1" applyBorder="1" applyAlignment="1">
      <alignment vertical="center"/>
    </xf>
    <xf numFmtId="49" fontId="6" fillId="0" borderId="22" xfId="0" applyNumberFormat="1" applyFont="1" applyBorder="1" applyAlignment="1">
      <alignment horizontal="center" vertical="center"/>
    </xf>
    <xf numFmtId="49" fontId="6"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5" fillId="20" borderId="3" xfId="0" applyNumberFormat="1" applyFont="1" applyFill="1" applyBorder="1" applyAlignment="1">
      <alignment horizontal="right" vertical="center"/>
    </xf>
    <xf numFmtId="49" fontId="6" fillId="9" borderId="28" xfId="0" applyNumberFormat="1" applyFont="1" applyFill="1" applyBorder="1" applyProtection="1">
      <alignment vertical="top"/>
      <protection locked="0"/>
    </xf>
    <xf numFmtId="0" fontId="6" fillId="0" borderId="3" xfId="0" applyNumberFormat="1" applyFont="1" applyBorder="1">
      <alignment vertical="top"/>
    </xf>
    <xf numFmtId="49" fontId="6" fillId="14" borderId="14" xfId="0" applyNumberFormat="1" applyFont="1" applyFill="1" applyBorder="1">
      <alignment vertical="top"/>
    </xf>
    <xf numFmtId="49" fontId="6"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5"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6" fillId="0" borderId="38" xfId="0" applyNumberFormat="1" applyFont="1" applyBorder="1" applyAlignment="1">
      <alignment horizontal="left" vertical="center" indent="1"/>
    </xf>
    <xf numFmtId="0" fontId="86" fillId="0" borderId="39" xfId="0" applyNumberFormat="1" applyFont="1" applyBorder="1" applyAlignment="1">
      <alignment horizontal="left" vertical="center" indent="1"/>
    </xf>
    <xf numFmtId="0" fontId="86" fillId="0" borderId="40" xfId="0" applyNumberFormat="1" applyFont="1" applyBorder="1" applyAlignment="1">
      <alignment horizontal="left" vertical="center" indent="1"/>
    </xf>
    <xf numFmtId="0" fontId="6" fillId="8" borderId="0" xfId="0" applyNumberFormat="1" applyFont="1" applyFill="1" applyAlignment="1">
      <alignment vertical="center" wrapText="1"/>
    </xf>
    <xf numFmtId="0" fontId="6" fillId="0" borderId="0" xfId="0" applyNumberFormat="1" applyFont="1" applyAlignment="1">
      <alignment vertical="center" wrapText="1"/>
    </xf>
    <xf numFmtId="0" fontId="15" fillId="0" borderId="0" xfId="0" applyNumberFormat="1" applyFont="1" applyAlignment="1">
      <alignment vertical="center" wrapText="1"/>
    </xf>
    <xf numFmtId="49" fontId="6" fillId="0" borderId="0" xfId="0" applyNumberFormat="1" applyFont="1">
      <alignment vertical="top"/>
    </xf>
    <xf numFmtId="0" fontId="30" fillId="0" borderId="0" xfId="0" applyNumberFormat="1" applyFont="1" applyAlignment="1">
      <alignment vertical="center" wrapText="1"/>
    </xf>
    <xf numFmtId="49" fontId="81" fillId="0" borderId="0" xfId="0" applyNumberFormat="1" applyFont="1" applyAlignment="1">
      <alignment horizontal="center" vertical="center" wrapText="1"/>
    </xf>
    <xf numFmtId="0" fontId="6" fillId="8" borderId="0" xfId="0" applyNumberFormat="1" applyFont="1" applyFill="1" applyAlignment="1">
      <alignment vertical="center" wrapText="1"/>
    </xf>
    <xf numFmtId="0" fontId="6" fillId="0" borderId="0" xfId="0" applyNumberFormat="1" applyFont="1" applyAlignment="1">
      <alignment vertical="center" wrapText="1"/>
    </xf>
    <xf numFmtId="0" fontId="33" fillId="8" borderId="30" xfId="0" applyNumberFormat="1" applyFont="1" applyFill="1" applyBorder="1" applyAlignment="1">
      <alignment horizontal="center" wrapText="1"/>
    </xf>
    <xf numFmtId="49" fontId="56" fillId="0" borderId="30" xfId="0" applyNumberFormat="1" applyFont="1" applyBorder="1">
      <alignment vertical="top"/>
    </xf>
    <xf numFmtId="0" fontId="0" fillId="0" borderId="3" xfId="0" applyNumberFormat="1" applyFont="1" applyBorder="1" applyAlignment="1">
      <alignment horizontal="center" vertical="center" wrapText="1"/>
    </xf>
    <xf numFmtId="0" fontId="6" fillId="0" borderId="0" xfId="0" applyNumberFormat="1" applyFont="1" applyAlignment="1">
      <alignment horizontal="left" vertical="center" wrapText="1" indent="3"/>
    </xf>
    <xf numFmtId="0" fontId="6" fillId="0" borderId="0" xfId="0" applyNumberFormat="1" applyFont="1" applyAlignment="1">
      <alignment horizontal="left" vertical="center" wrapText="1" indent="3"/>
    </xf>
    <xf numFmtId="0" fontId="6" fillId="0" borderId="0" xfId="0" applyNumberFormat="1" applyFont="1" applyAlignment="1">
      <alignment vertical="center" wrapText="1"/>
    </xf>
    <xf numFmtId="0" fontId="15" fillId="0" borderId="0" xfId="0" applyNumberFormat="1" applyFont="1" applyAlignment="1">
      <alignment vertical="center" wrapText="1"/>
    </xf>
    <xf numFmtId="49" fontId="6" fillId="0" borderId="0" xfId="0" applyNumberFormat="1" applyFont="1">
      <alignment vertical="top"/>
    </xf>
    <xf numFmtId="0" fontId="30" fillId="0" borderId="0" xfId="0" applyNumberFormat="1" applyFont="1" applyAlignment="1">
      <alignment vertical="center" wrapText="1"/>
    </xf>
    <xf numFmtId="0" fontId="6" fillId="0" borderId="3" xfId="0" applyNumberFormat="1" applyFont="1" applyBorder="1" applyAlignment="1">
      <alignment horizontal="center" vertical="center" wrapText="1"/>
    </xf>
    <xf numFmtId="0" fontId="6" fillId="0" borderId="0" xfId="0" applyNumberFormat="1" applyFont="1" applyAlignment="1">
      <alignment vertical="center" wrapText="1"/>
    </xf>
    <xf numFmtId="0" fontId="6" fillId="8" borderId="30" xfId="0" applyNumberFormat="1" applyFont="1" applyFill="1" applyBorder="1" applyAlignment="1">
      <alignment vertical="center" wrapText="1"/>
    </xf>
    <xf numFmtId="0" fontId="6" fillId="0" borderId="0" xfId="0" applyNumberFormat="1" applyFont="1" applyAlignment="1">
      <alignment vertical="center" wrapText="1"/>
    </xf>
    <xf numFmtId="0" fontId="15" fillId="0" borderId="0" xfId="0" applyNumberFormat="1" applyFont="1" applyAlignment="1">
      <alignment vertical="center" wrapText="1"/>
    </xf>
    <xf numFmtId="49" fontId="6" fillId="0" borderId="0" xfId="0" applyNumberFormat="1" applyFont="1">
      <alignment vertical="top"/>
    </xf>
    <xf numFmtId="0" fontId="30"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0" fontId="6" fillId="8" borderId="30" xfId="0" applyNumberFormat="1" applyFont="1" applyFill="1" applyBorder="1" applyAlignment="1">
      <alignment vertical="center" wrapText="1"/>
    </xf>
    <xf numFmtId="0" fontId="6" fillId="12" borderId="3" xfId="0" applyNumberFormat="1" applyFont="1" applyFill="1" applyBorder="1" applyAlignment="1" applyProtection="1">
      <alignment horizontal="left" vertical="center" wrapText="1" indent="1"/>
      <protection locked="0"/>
    </xf>
    <xf numFmtId="49" fontId="30" fillId="20" borderId="0" xfId="0" applyNumberFormat="1" applyFont="1" applyFill="1" applyAlignment="1">
      <alignment horizontal="center" vertical="center" wrapText="1"/>
    </xf>
    <xf numFmtId="0" fontId="6" fillId="0" borderId="3" xfId="0" applyNumberFormat="1" applyFont="1" applyBorder="1" applyAlignment="1">
      <alignment horizontal="center" vertical="center" wrapText="1"/>
    </xf>
    <xf numFmtId="0" fontId="6" fillId="0" borderId="3" xfId="0" applyNumberFormat="1" applyFont="1" applyBorder="1" applyAlignment="1">
      <alignment horizontal="center" vertical="center" wrapText="1"/>
    </xf>
    <xf numFmtId="0" fontId="6" fillId="0" borderId="0" xfId="0" applyNumberFormat="1" applyFont="1" applyAlignment="1">
      <alignment vertical="center" wrapText="1"/>
    </xf>
    <xf numFmtId="0" fontId="15" fillId="0" borderId="0" xfId="0" applyNumberFormat="1" applyFont="1" applyAlignment="1">
      <alignment vertical="center" wrapText="1"/>
    </xf>
    <xf numFmtId="49" fontId="6" fillId="0" borderId="0" xfId="0" applyNumberFormat="1" applyFont="1">
      <alignment vertical="top"/>
    </xf>
    <xf numFmtId="49" fontId="87" fillId="0" borderId="7" xfId="0" applyNumberFormat="1" applyFont="1" applyBorder="1">
      <alignment vertical="top"/>
    </xf>
    <xf numFmtId="0" fontId="0" fillId="0" borderId="0" xfId="0" applyNumberFormat="1" applyFont="1">
      <alignment vertical="top"/>
    </xf>
    <xf numFmtId="0" fontId="30" fillId="0" borderId="0" xfId="0" applyNumberFormat="1" applyFont="1" applyAlignment="1">
      <alignment vertical="center" wrapText="1"/>
    </xf>
    <xf numFmtId="49" fontId="36" fillId="12" borderId="3" xfId="0" applyNumberFormat="1" applyFont="1" applyFill="1" applyBorder="1" applyAlignment="1" applyProtection="1">
      <alignment horizontal="left" vertical="center" wrapText="1"/>
      <protection locked="0"/>
    </xf>
    <xf numFmtId="0" fontId="6"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6" fillId="12" borderId="3" xfId="0" applyNumberFormat="1" applyFont="1" applyFill="1" applyBorder="1" applyAlignment="1" applyProtection="1">
      <alignment horizontal="left" vertical="center" wrapText="1"/>
      <protection locked="0"/>
    </xf>
    <xf numFmtId="0" fontId="6" fillId="8" borderId="17" xfId="0" applyNumberFormat="1" applyFont="1" applyFill="1" applyBorder="1" applyAlignment="1">
      <alignment horizontal="right" vertical="center" wrapText="1" indent="1"/>
    </xf>
    <xf numFmtId="49" fontId="30" fillId="0" borderId="0" xfId="0" applyNumberFormat="1" applyFont="1" applyAlignment="1">
      <alignment horizontal="center" vertical="center" wrapText="1"/>
    </xf>
    <xf numFmtId="49" fontId="31" fillId="0" borderId="0" xfId="0" applyNumberFormat="1" applyFont="1" applyAlignment="1">
      <alignment horizontal="center" vertical="center" wrapText="1"/>
    </xf>
    <xf numFmtId="49" fontId="23" fillId="10" borderId="6" xfId="0" applyNumberFormat="1" applyFont="1" applyFill="1" applyBorder="1" applyAlignment="1">
      <alignment horizontal="left" vertical="center" indent="1"/>
    </xf>
    <xf numFmtId="4" fontId="6" fillId="12" borderId="22" xfId="0" applyNumberFormat="1" applyFont="1" applyFill="1" applyBorder="1" applyAlignment="1" applyProtection="1">
      <alignment horizontal="right" vertical="center" wrapText="1"/>
      <protection locked="0"/>
    </xf>
    <xf numFmtId="0" fontId="6" fillId="8" borderId="0" xfId="0" applyNumberFormat="1" applyFont="1" applyFill="1" applyAlignment="1">
      <alignment vertical="center" wrapText="1"/>
    </xf>
    <xf numFmtId="0" fontId="6" fillId="0" borderId="0" xfId="0" applyNumberFormat="1" applyFont="1" applyAlignment="1">
      <alignment vertical="center"/>
    </xf>
    <xf numFmtId="0" fontId="6" fillId="0" borderId="0" xfId="0" applyNumberFormat="1" applyFont="1" applyAlignment="1">
      <alignment vertical="center" wrapText="1"/>
    </xf>
    <xf numFmtId="0" fontId="6" fillId="10" borderId="41" xfId="0" applyNumberFormat="1" applyFont="1" applyFill="1" applyBorder="1" applyAlignment="1">
      <alignment vertical="center" wrapText="1"/>
    </xf>
    <xf numFmtId="0" fontId="6" fillId="10" borderId="42" xfId="0" applyNumberFormat="1" applyFont="1" applyFill="1" applyBorder="1" applyAlignment="1">
      <alignment vertical="center" wrapText="1"/>
    </xf>
    <xf numFmtId="49" fontId="88" fillId="10" borderId="5" xfId="0" applyNumberFormat="1" applyFont="1" applyFill="1" applyBorder="1" applyAlignment="1">
      <alignment horizontal="left" vertical="center" indent="1"/>
    </xf>
    <xf numFmtId="49" fontId="88" fillId="10" borderId="6" xfId="0" applyNumberFormat="1" applyFont="1" applyFill="1" applyBorder="1" applyAlignment="1">
      <alignment horizontal="left" vertical="center" indent="1"/>
    </xf>
    <xf numFmtId="49" fontId="77" fillId="10" borderId="34" xfId="0" applyNumberFormat="1" applyFont="1" applyFill="1" applyBorder="1" applyAlignment="1">
      <alignment horizontal="center" vertical="center"/>
    </xf>
    <xf numFmtId="49" fontId="88" fillId="10" borderId="34" xfId="0" applyNumberFormat="1" applyFont="1" applyFill="1" applyBorder="1" applyAlignment="1">
      <alignment horizontal="left" vertical="center" indent="1"/>
    </xf>
    <xf numFmtId="0" fontId="28" fillId="13" borderId="3" xfId="0" applyNumberFormat="1" applyFont="1" applyFill="1" applyBorder="1" applyAlignment="1">
      <alignment horizontal="left" vertical="center" wrapText="1" indent="1"/>
    </xf>
    <xf numFmtId="49" fontId="28" fillId="10" borderId="6" xfId="0" applyNumberFormat="1" applyFont="1" applyFill="1" applyBorder="1" applyAlignment="1">
      <alignment vertical="top" wrapText="1"/>
    </xf>
    <xf numFmtId="49" fontId="28" fillId="10" borderId="4" xfId="0" applyNumberFormat="1" applyFont="1" applyFill="1" applyBorder="1" applyAlignment="1">
      <alignment vertical="top" wrapText="1"/>
    </xf>
    <xf numFmtId="49" fontId="28" fillId="10" borderId="43" xfId="0" applyNumberFormat="1" applyFont="1" applyFill="1" applyBorder="1" applyAlignment="1">
      <alignment vertical="top" wrapText="1"/>
    </xf>
    <xf numFmtId="49" fontId="88" fillId="10" borderId="43" xfId="0" applyNumberFormat="1" applyFont="1" applyFill="1" applyBorder="1" applyAlignment="1">
      <alignment horizontal="left" vertical="center" indent="1"/>
    </xf>
    <xf numFmtId="0" fontId="6"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6" fillId="0" borderId="40" xfId="0" applyNumberFormat="1" applyFont="1" applyBorder="1" applyAlignment="1">
      <alignment vertical="center" wrapText="1"/>
    </xf>
    <xf numFmtId="0" fontId="6" fillId="0" borderId="44" xfId="0" applyNumberFormat="1" applyFont="1" applyBorder="1" applyAlignment="1">
      <alignment vertical="center" wrapText="1"/>
    </xf>
    <xf numFmtId="0" fontId="6" fillId="0" borderId="45" xfId="0" applyNumberFormat="1" applyFont="1" applyBorder="1" applyAlignment="1">
      <alignment vertical="center" wrapText="1"/>
    </xf>
    <xf numFmtId="0" fontId="6"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6" fillId="8" borderId="3" xfId="0" applyNumberFormat="1" applyFont="1" applyFill="1" applyBorder="1" applyAlignment="1">
      <alignment horizontal="center" vertical="center" wrapText="1"/>
    </xf>
    <xf numFmtId="49" fontId="19" fillId="0" borderId="3" xfId="0" applyNumberFormat="1" applyFont="1" applyBorder="1" applyAlignment="1">
      <alignment horizontal="center" vertical="center"/>
    </xf>
    <xf numFmtId="49" fontId="19" fillId="14" borderId="3" xfId="0" applyNumberFormat="1" applyFont="1" applyFill="1" applyBorder="1" applyAlignment="1">
      <alignment horizontal="center" vertical="center"/>
    </xf>
    <xf numFmtId="0" fontId="19" fillId="0" borderId="3" xfId="0" applyNumberFormat="1" applyFont="1" applyBorder="1" applyAlignment="1">
      <alignment horizontal="center" vertical="center"/>
    </xf>
    <xf numFmtId="49" fontId="19" fillId="0" borderId="14" xfId="0" applyNumberFormat="1" applyFont="1" applyBorder="1" applyAlignment="1">
      <alignment horizontal="center" vertical="center"/>
    </xf>
    <xf numFmtId="49" fontId="6" fillId="0" borderId="0" xfId="0" applyNumberFormat="1" applyFont="1" applyAlignment="1">
      <alignment vertical="center"/>
    </xf>
    <xf numFmtId="49" fontId="30" fillId="0" borderId="8" xfId="0" applyNumberFormat="1" applyFont="1" applyBorder="1" applyAlignment="1">
      <alignment horizontal="center" vertical="center"/>
    </xf>
    <xf numFmtId="49" fontId="6" fillId="0" borderId="8" xfId="0" applyNumberFormat="1" applyFont="1" applyBorder="1" applyAlignment="1">
      <alignment horizontal="center" vertical="center"/>
    </xf>
    <xf numFmtId="0" fontId="6" fillId="0" borderId="8" xfId="0" applyNumberFormat="1" applyFont="1" applyBorder="1" applyAlignment="1">
      <alignment horizontal="right" vertical="center"/>
    </xf>
    <xf numFmtId="0" fontId="6" fillId="0" borderId="8" xfId="0" applyNumberFormat="1" applyFont="1" applyBorder="1" applyAlignment="1">
      <alignment horizontal="center" vertical="center"/>
    </xf>
    <xf numFmtId="0" fontId="6" fillId="0" borderId="3" xfId="0" applyNumberFormat="1" applyFont="1" applyBorder="1" applyAlignment="1">
      <alignment horizontal="right" vertical="center"/>
    </xf>
    <xf numFmtId="49" fontId="6" fillId="0" borderId="0" xfId="0" applyNumberFormat="1" applyFont="1" applyAlignment="1">
      <alignment vertical="center"/>
    </xf>
    <xf numFmtId="49" fontId="6" fillId="0" borderId="46" xfId="0" applyNumberFormat="1" applyFont="1" applyBorder="1" applyAlignment="1">
      <alignment horizontal="center" vertical="center"/>
    </xf>
    <xf numFmtId="0" fontId="6" fillId="0" borderId="46" xfId="0" applyNumberFormat="1" applyFont="1" applyBorder="1" applyAlignment="1">
      <alignment horizontal="right" vertical="center"/>
    </xf>
    <xf numFmtId="0" fontId="6" fillId="0" borderId="46" xfId="0" applyNumberFormat="1" applyFont="1" applyBorder="1" applyAlignment="1">
      <alignment horizontal="center" vertical="center"/>
    </xf>
    <xf numFmtId="0" fontId="6" fillId="0" borderId="6" xfId="0" applyNumberFormat="1" applyFont="1" applyBorder="1" applyAlignment="1">
      <alignment horizontal="right" vertical="center"/>
    </xf>
    <xf numFmtId="0" fontId="6" fillId="0" borderId="4" xfId="0" applyNumberFormat="1" applyFont="1" applyBorder="1" applyAlignment="1">
      <alignment horizontal="right" vertical="center"/>
    </xf>
    <xf numFmtId="0" fontId="6" fillId="8" borderId="3" xfId="0" applyNumberFormat="1" applyFont="1" applyFill="1" applyBorder="1" applyAlignment="1">
      <alignment horizontal="center" vertical="center"/>
    </xf>
    <xf numFmtId="0" fontId="6" fillId="13" borderId="3" xfId="0" applyNumberFormat="1" applyFont="1" applyFill="1" applyBorder="1" applyAlignment="1">
      <alignment horizontal="left" vertical="center" wrapText="1" indent="1"/>
    </xf>
    <xf numFmtId="0" fontId="6" fillId="12" borderId="3" xfId="0" applyNumberFormat="1" applyFont="1" applyFill="1" applyBorder="1" applyAlignment="1" applyProtection="1">
      <alignment horizontal="left" vertical="center" wrapText="1" indent="1"/>
      <protection locked="0"/>
    </xf>
    <xf numFmtId="0" fontId="6" fillId="14" borderId="3" xfId="0" applyNumberFormat="1" applyFont="1" applyFill="1" applyBorder="1" applyAlignment="1">
      <alignment horizontal="right" vertical="center"/>
    </xf>
    <xf numFmtId="4" fontId="6" fillId="9" borderId="3" xfId="0" applyNumberFormat="1" applyFont="1" applyFill="1" applyBorder="1" applyAlignment="1" applyProtection="1">
      <alignment horizontal="right" vertical="center"/>
      <protection locked="0"/>
    </xf>
    <xf numFmtId="49" fontId="23" fillId="10" borderId="47" xfId="0" applyNumberFormat="1" applyFont="1" applyFill="1" applyBorder="1" applyAlignment="1">
      <alignment horizontal="left" vertical="center" indent="1"/>
    </xf>
    <xf numFmtId="49" fontId="23" fillId="10" borderId="42" xfId="0" applyNumberFormat="1" applyFont="1" applyFill="1" applyBorder="1" applyAlignment="1">
      <alignment horizontal="left" vertical="center" indent="1"/>
    </xf>
    <xf numFmtId="49" fontId="23" fillId="25" borderId="4" xfId="0" applyNumberFormat="1" applyFont="1" applyFill="1" applyBorder="1" applyAlignment="1">
      <alignment horizontal="left" vertical="center" indent="1"/>
    </xf>
    <xf numFmtId="49" fontId="6" fillId="0" borderId="0" xfId="0" applyNumberFormat="1" applyFont="1">
      <alignment vertical="top"/>
    </xf>
    <xf numFmtId="0" fontId="6" fillId="21" borderId="0" xfId="0" applyNumberFormat="1" applyFont="1" applyFill="1" applyAlignment="1">
      <alignment horizontal="left" vertical="center"/>
    </xf>
    <xf numFmtId="49" fontId="6" fillId="0" borderId="0" xfId="0" applyNumberFormat="1" applyFont="1" applyAlignment="1">
      <alignment vertical="center" wrapText="1"/>
    </xf>
    <xf numFmtId="0" fontId="6" fillId="0" borderId="0" xfId="0" applyNumberFormat="1" applyFont="1" applyAlignment="1">
      <alignment horizontal="right" vertical="center" wrapText="1"/>
    </xf>
    <xf numFmtId="0" fontId="31"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6" fillId="0" borderId="3" xfId="0" applyNumberFormat="1" applyFont="1" applyBorder="1" applyAlignment="1">
      <alignment horizontal="left" vertical="center" wrapText="1"/>
    </xf>
    <xf numFmtId="0" fontId="6"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6" fillId="8" borderId="10" xfId="0" applyNumberFormat="1" applyFont="1" applyFill="1" applyBorder="1" applyAlignment="1">
      <alignment vertical="center" wrapText="1"/>
    </xf>
    <xf numFmtId="49" fontId="31" fillId="0" borderId="0" xfId="0" applyNumberFormat="1" applyFont="1">
      <alignment vertical="top"/>
    </xf>
    <xf numFmtId="0" fontId="31"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6" fillId="0" borderId="13" xfId="0" applyNumberFormat="1" applyFont="1" applyBorder="1">
      <alignment vertical="top"/>
    </xf>
    <xf numFmtId="0" fontId="6"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6" fillId="0" borderId="29" xfId="0" applyNumberFormat="1" applyFont="1" applyBorder="1" applyAlignment="1">
      <alignment vertical="center"/>
    </xf>
    <xf numFmtId="49" fontId="23" fillId="10" borderId="6" xfId="0" applyNumberFormat="1" applyFont="1" applyFill="1" applyBorder="1" applyAlignment="1">
      <alignment horizontal="left" vertical="center" indent="1"/>
    </xf>
    <xf numFmtId="49" fontId="6" fillId="12" borderId="8" xfId="0" applyNumberFormat="1" applyFont="1" applyFill="1" applyBorder="1" applyAlignment="1" applyProtection="1">
      <alignment horizontal="left" vertical="center" wrapText="1" indent="1"/>
      <protection locked="0"/>
    </xf>
    <xf numFmtId="0" fontId="29" fillId="0" borderId="0" xfId="0" applyNumberFormat="1" applyFont="1" applyAlignment="1">
      <alignment vertical="center" wrapText="1"/>
    </xf>
    <xf numFmtId="0" fontId="6" fillId="8" borderId="18" xfId="0" applyNumberFormat="1" applyFont="1" applyFill="1" applyBorder="1" applyAlignment="1">
      <alignment vertical="center" wrapText="1"/>
    </xf>
    <xf numFmtId="0" fontId="31" fillId="8" borderId="10" xfId="0" applyNumberFormat="1" applyFont="1" applyFill="1" applyBorder="1" applyAlignment="1">
      <alignment horizontal="center" vertical="center" wrapText="1"/>
    </xf>
    <xf numFmtId="49" fontId="55" fillId="0" borderId="0" xfId="0" applyNumberFormat="1" applyFont="1" applyAlignment="1">
      <alignment vertical="center" wrapText="1"/>
    </xf>
    <xf numFmtId="0" fontId="89" fillId="8" borderId="0" xfId="0" applyNumberFormat="1" applyFont="1" applyFill="1" applyAlignment="1">
      <alignment vertical="center" wrapText="1"/>
    </xf>
    <xf numFmtId="0" fontId="6" fillId="0" borderId="0" xfId="0" applyNumberFormat="1" applyFont="1" applyAlignment="1">
      <alignment vertical="center"/>
    </xf>
    <xf numFmtId="49" fontId="31" fillId="8" borderId="0" xfId="0" applyNumberFormat="1" applyFont="1" applyFill="1" applyAlignment="1">
      <alignment horizontal="center" vertical="center" wrapText="1"/>
    </xf>
    <xf numFmtId="0" fontId="6" fillId="0" borderId="0" xfId="0" applyNumberFormat="1" applyFont="1" applyAlignment="1">
      <alignment horizontal="left" vertical="center" wrapText="1"/>
    </xf>
    <xf numFmtId="0" fontId="31" fillId="0" borderId="0" xfId="0" applyNumberFormat="1" applyFont="1" applyAlignment="1">
      <alignment vertical="center"/>
    </xf>
    <xf numFmtId="0" fontId="6" fillId="0" borderId="0" xfId="0" applyNumberFormat="1" applyFont="1" applyAlignment="1">
      <alignment horizontal="left" vertical="center" wrapText="1" indent="1"/>
    </xf>
    <xf numFmtId="0" fontId="6" fillId="0" borderId="0" xfId="0" applyNumberFormat="1" applyFont="1" applyAlignment="1">
      <alignment horizontal="right" vertical="top" wrapText="1"/>
    </xf>
    <xf numFmtId="0" fontId="90" fillId="8" borderId="0" xfId="0" applyNumberFormat="1" applyFont="1" applyFill="1" applyAlignment="1">
      <alignment vertical="center" wrapText="1"/>
    </xf>
    <xf numFmtId="49" fontId="63" fillId="8" borderId="10" xfId="0" applyNumberFormat="1" applyFont="1" applyFill="1" applyBorder="1" applyAlignment="1">
      <alignment horizontal="center" vertical="center" wrapText="1"/>
    </xf>
    <xf numFmtId="0" fontId="63" fillId="8" borderId="10" xfId="0" applyNumberFormat="1" applyFont="1" applyFill="1" applyBorder="1" applyAlignment="1">
      <alignment horizontal="center" vertical="center" wrapText="1"/>
    </xf>
    <xf numFmtId="165" fontId="6" fillId="9" borderId="3" xfId="0" applyNumberFormat="1" applyFont="1" applyFill="1" applyBorder="1" applyAlignment="1" applyProtection="1">
      <alignment horizontal="right" vertical="center" wrapText="1"/>
      <protection locked="0"/>
    </xf>
    <xf numFmtId="0" fontId="28" fillId="0" borderId="3" xfId="0" applyNumberFormat="1" applyFont="1" applyBorder="1" applyAlignment="1">
      <alignment vertical="top" wrapText="1"/>
    </xf>
    <xf numFmtId="0" fontId="6" fillId="0" borderId="0" xfId="0" applyNumberFormat="1" applyFont="1" applyAlignment="1">
      <alignment vertical="center"/>
    </xf>
    <xf numFmtId="0" fontId="91" fillId="0" borderId="0" xfId="0" applyNumberFormat="1" applyFont="1" applyAlignment="1">
      <alignment vertical="center"/>
    </xf>
    <xf numFmtId="0" fontId="91" fillId="0" borderId="0" xfId="0" applyNumberFormat="1" applyFont="1" applyAlignment="1">
      <alignment vertical="center"/>
    </xf>
    <xf numFmtId="0" fontId="6" fillId="0" borderId="0" xfId="0" applyNumberFormat="1" applyFont="1" applyAlignment="1">
      <alignment vertical="center"/>
    </xf>
    <xf numFmtId="0" fontId="6" fillId="0" borderId="0" xfId="0" applyNumberFormat="1" applyFont="1" applyAlignment="1">
      <alignment vertical="center"/>
    </xf>
    <xf numFmtId="0" fontId="91" fillId="0" borderId="0" xfId="0" applyNumberFormat="1" applyFont="1" applyAlignment="1">
      <alignment vertical="center"/>
    </xf>
    <xf numFmtId="0" fontId="6" fillId="0" borderId="0" xfId="0" applyNumberFormat="1" applyFont="1" applyAlignment="1">
      <alignment vertical="center"/>
    </xf>
    <xf numFmtId="0" fontId="6" fillId="0" borderId="0" xfId="0" applyNumberFormat="1" applyFont="1" applyAlignment="1">
      <alignment vertical="center"/>
    </xf>
    <xf numFmtId="0" fontId="6" fillId="0" borderId="0" xfId="0" applyNumberFormat="1" applyFont="1" applyAlignment="1">
      <alignment horizontal="left" vertical="center" indent="1"/>
    </xf>
    <xf numFmtId="49" fontId="92" fillId="10" borderId="6" xfId="0" applyNumberFormat="1" applyFont="1" applyFill="1" applyBorder="1" applyAlignment="1">
      <alignment horizontal="left" vertical="center" indent="3"/>
    </xf>
    <xf numFmtId="49" fontId="55" fillId="10" borderId="6" xfId="0" applyNumberFormat="1" applyFont="1" applyFill="1" applyBorder="1" applyAlignment="1">
      <alignment horizontal="center" vertical="center" wrapText="1"/>
    </xf>
    <xf numFmtId="49" fontId="50" fillId="10" borderId="6" xfId="0" applyNumberFormat="1" applyFont="1" applyFill="1" applyBorder="1" applyAlignment="1">
      <alignment horizontal="center" vertical="center" wrapText="1"/>
    </xf>
    <xf numFmtId="49" fontId="50" fillId="10" borderId="4" xfId="0" applyNumberFormat="1" applyFont="1" applyFill="1" applyBorder="1" applyAlignment="1">
      <alignment horizontal="center" vertical="center" wrapText="1"/>
    </xf>
    <xf numFmtId="49" fontId="92" fillId="10" borderId="6" xfId="0" applyNumberFormat="1" applyFont="1" applyFill="1" applyBorder="1" applyAlignment="1">
      <alignment horizontal="left" vertical="center" indent="2"/>
    </xf>
    <xf numFmtId="49" fontId="92" fillId="10" borderId="6" xfId="0" applyNumberFormat="1" applyFont="1" applyFill="1" applyBorder="1" applyAlignment="1">
      <alignment horizontal="left" vertical="center" indent="1"/>
    </xf>
    <xf numFmtId="49" fontId="92" fillId="10" borderId="6" xfId="0" applyNumberFormat="1" applyFont="1" applyFill="1" applyBorder="1" applyAlignment="1">
      <alignment horizontal="left" vertical="center"/>
    </xf>
    <xf numFmtId="0" fontId="6"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3" fillId="8" borderId="10" xfId="0" applyNumberFormat="1" applyFont="1" applyFill="1" applyBorder="1" applyAlignment="1">
      <alignment horizontal="left" vertical="center" wrapText="1"/>
    </xf>
    <xf numFmtId="49" fontId="56" fillId="10" borderId="5" xfId="0" applyNumberFormat="1" applyFont="1" applyFill="1" applyBorder="1" applyAlignment="1">
      <alignment horizontal="left" vertical="center"/>
    </xf>
    <xf numFmtId="49" fontId="84" fillId="10" borderId="5" xfId="0" applyNumberFormat="1" applyFont="1" applyFill="1" applyBorder="1" applyAlignment="1">
      <alignment horizontal="left" vertical="center"/>
    </xf>
    <xf numFmtId="49" fontId="50"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1" fillId="0" borderId="3" xfId="0" applyNumberFormat="1" applyFont="1" applyBorder="1" applyAlignment="1">
      <alignment horizontal="center" vertical="center"/>
    </xf>
    <xf numFmtId="0" fontId="0" fillId="0" borderId="0" xfId="0" applyNumberFormat="1" applyFont="1" applyAlignment="1">
      <alignment vertical="center"/>
    </xf>
    <xf numFmtId="0" fontId="6"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6" fillId="0" borderId="0" xfId="0" applyNumberFormat="1" applyFont="1" applyAlignment="1">
      <alignment vertical="center" wrapText="1"/>
    </xf>
    <xf numFmtId="0" fontId="6" fillId="0" borderId="0" xfId="0" applyNumberFormat="1" applyFont="1" applyAlignment="1">
      <alignment horizontal="right" vertical="center" wrapText="1"/>
    </xf>
    <xf numFmtId="0" fontId="6" fillId="0" borderId="0" xfId="0" applyNumberFormat="1" applyFont="1" applyAlignment="1">
      <alignment horizontal="left" vertical="top" wrapText="1"/>
    </xf>
    <xf numFmtId="0" fontId="63" fillId="8" borderId="10" xfId="0" applyNumberFormat="1" applyFont="1" applyFill="1" applyBorder="1" applyAlignment="1">
      <alignment horizontal="center" vertical="center" wrapText="1"/>
    </xf>
    <xf numFmtId="0" fontId="6"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6" fillId="8" borderId="3" xfId="0" applyNumberFormat="1" applyFont="1" applyFill="1" applyBorder="1" applyAlignment="1">
      <alignment horizontal="left" vertical="center" wrapText="1"/>
    </xf>
    <xf numFmtId="49" fontId="6" fillId="0" borderId="3" xfId="0" applyNumberFormat="1" applyFont="1" applyBorder="1" applyAlignment="1">
      <alignment horizontal="left" vertical="center" wrapText="1"/>
    </xf>
    <xf numFmtId="0" fontId="37" fillId="21" borderId="0" xfId="0" applyNumberFormat="1" applyFont="1" applyFill="1" applyAlignment="1">
      <alignment horizontal="left" vertical="center"/>
    </xf>
    <xf numFmtId="49" fontId="6" fillId="0" borderId="11" xfId="0" applyNumberFormat="1" applyFont="1" applyBorder="1" applyAlignment="1">
      <alignment horizontal="left" vertical="center" wrapText="1"/>
    </xf>
    <xf numFmtId="0" fontId="23" fillId="0" borderId="0" xfId="0" applyNumberFormat="1" applyFont="1" applyAlignment="1">
      <alignment horizontal="left" vertical="center"/>
    </xf>
    <xf numFmtId="0" fontId="23" fillId="0" borderId="15" xfId="0" applyNumberFormat="1" applyFont="1" applyBorder="1" applyAlignment="1">
      <alignment horizontal="left" vertical="center"/>
    </xf>
    <xf numFmtId="0" fontId="23" fillId="0" borderId="21" xfId="0" applyNumberFormat="1" applyFont="1" applyBorder="1" applyAlignment="1">
      <alignment horizontal="left" vertical="center"/>
    </xf>
    <xf numFmtId="0" fontId="23"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3" fillId="0" borderId="20" xfId="0" applyNumberFormat="1" applyFont="1" applyBorder="1" applyAlignment="1">
      <alignment horizontal="left" vertical="center"/>
    </xf>
    <xf numFmtId="49" fontId="6" fillId="0" borderId="0" xfId="0" applyNumberFormat="1" applyFont="1" applyAlignment="1">
      <alignment vertical="center" wrapText="1"/>
    </xf>
    <xf numFmtId="0" fontId="6"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6" fillId="0" borderId="3" xfId="0" applyNumberFormat="1" applyFont="1" applyBorder="1" applyAlignment="1">
      <alignment horizontal="left" vertical="center" wrapText="1"/>
    </xf>
    <xf numFmtId="0" fontId="28" fillId="0" borderId="8" xfId="0" applyNumberFormat="1" applyFont="1" applyBorder="1" applyAlignment="1">
      <alignment vertical="top" wrapText="1"/>
    </xf>
    <xf numFmtId="0" fontId="0" fillId="0" borderId="0" xfId="0" applyNumberFormat="1" applyFont="1" applyAlignment="1">
      <alignment vertical="center"/>
    </xf>
    <xf numFmtId="0" fontId="6" fillId="8" borderId="3" xfId="0" applyNumberFormat="1" applyFont="1" applyFill="1" applyBorder="1" applyAlignment="1">
      <alignment horizontal="left" vertical="center" wrapText="1"/>
    </xf>
    <xf numFmtId="0" fontId="6" fillId="0" borderId="0" xfId="0" applyNumberFormat="1" applyFont="1" applyAlignment="1">
      <alignment horizontal="center" vertical="center"/>
    </xf>
    <xf numFmtId="49" fontId="6" fillId="0" borderId="0" xfId="0" applyNumberFormat="1" applyFont="1" applyAlignment="1">
      <alignment vertical="center" wrapText="1"/>
    </xf>
    <xf numFmtId="0" fontId="63"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indent="1"/>
    </xf>
    <xf numFmtId="0" fontId="31" fillId="0" borderId="0" xfId="0" applyNumberFormat="1" applyFont="1" applyAlignment="1">
      <alignment horizontal="left" vertical="center" wrapText="1"/>
    </xf>
    <xf numFmtId="49" fontId="31" fillId="0" borderId="0" xfId="0" applyNumberFormat="1" applyFont="1">
      <alignment vertical="top"/>
    </xf>
    <xf numFmtId="49" fontId="90" fillId="0" borderId="0" xfId="0" applyNumberFormat="1" applyFont="1">
      <alignment vertical="top"/>
    </xf>
    <xf numFmtId="49" fontId="80" fillId="0" borderId="10" xfId="0" applyNumberFormat="1" applyFont="1" applyBorder="1" applyAlignment="1">
      <alignment horizontal="left" vertical="center"/>
    </xf>
    <xf numFmtId="49" fontId="31" fillId="0" borderId="10" xfId="0" applyNumberFormat="1" applyFont="1" applyBorder="1" applyAlignment="1">
      <alignment horizontal="left" vertical="center" indent="3"/>
    </xf>
    <xf numFmtId="49" fontId="31" fillId="0" borderId="10" xfId="0" applyNumberFormat="1" applyFont="1" applyBorder="1" applyAlignment="1">
      <alignment horizontal="center" vertical="center" wrapText="1"/>
    </xf>
    <xf numFmtId="49" fontId="31" fillId="0" borderId="0" xfId="0" applyNumberFormat="1" applyFont="1" applyAlignment="1">
      <alignment horizontal="left" vertical="center"/>
    </xf>
    <xf numFmtId="49" fontId="80" fillId="0" borderId="0" xfId="0" applyNumberFormat="1" applyFont="1" applyAlignment="1">
      <alignment horizontal="left" vertical="center"/>
    </xf>
    <xf numFmtId="49" fontId="31" fillId="0" borderId="0" xfId="0" applyNumberFormat="1" applyFont="1" applyAlignment="1">
      <alignment horizontal="left" vertical="center" indent="2"/>
    </xf>
    <xf numFmtId="49" fontId="31" fillId="0" borderId="0" xfId="0" applyNumberFormat="1" applyFont="1" applyAlignment="1">
      <alignment horizontal="center" vertical="center" wrapText="1"/>
    </xf>
    <xf numFmtId="49" fontId="31" fillId="0" borderId="0" xfId="0" applyNumberFormat="1" applyFont="1" applyAlignment="1">
      <alignment horizontal="left" vertical="center" indent="1"/>
    </xf>
    <xf numFmtId="0" fontId="0" fillId="0" borderId="0" xfId="0" applyNumberFormat="1" applyFont="1" applyAlignment="1">
      <alignment vertical="center"/>
    </xf>
    <xf numFmtId="0"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30" fillId="0" borderId="0" xfId="0" applyNumberFormat="1" applyFont="1" applyAlignment="1">
      <alignment horizontal="center" vertical="center" wrapText="1"/>
    </xf>
    <xf numFmtId="0" fontId="6" fillId="8" borderId="3" xfId="0" applyNumberFormat="1" applyFont="1" applyFill="1" applyBorder="1" applyAlignment="1">
      <alignment horizontal="center" vertical="center" wrapText="1"/>
    </xf>
    <xf numFmtId="0" fontId="31"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3" fillId="8" borderId="10" xfId="0" applyNumberFormat="1" applyFont="1" applyFill="1" applyBorder="1" applyAlignment="1">
      <alignment horizontal="center" vertical="center" wrapText="1"/>
    </xf>
    <xf numFmtId="0" fontId="6" fillId="8" borderId="3" xfId="0" applyNumberFormat="1" applyFont="1" applyFill="1" applyBorder="1" applyAlignment="1">
      <alignment horizontal="left" vertical="center" wrapText="1"/>
    </xf>
    <xf numFmtId="49" fontId="6"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center" vertical="center"/>
    </xf>
    <xf numFmtId="0" fontId="6" fillId="0" borderId="0" xfId="0" applyNumberFormat="1" applyFont="1" applyAlignment="1">
      <alignment horizontal="right" vertical="center" wrapText="1"/>
    </xf>
    <xf numFmtId="0" fontId="63" fillId="8" borderId="0" xfId="0" applyNumberFormat="1" applyFont="1" applyFill="1" applyAlignment="1">
      <alignment horizontal="center" vertical="center" wrapText="1"/>
    </xf>
    <xf numFmtId="49" fontId="6" fillId="0" borderId="3" xfId="0" applyNumberFormat="1" applyFont="1" applyBorder="1" applyAlignment="1">
      <alignment horizontal="left" vertical="center" wrapText="1"/>
    </xf>
    <xf numFmtId="0" fontId="31" fillId="0" borderId="0" xfId="0" applyNumberFormat="1" applyFont="1" applyAlignment="1">
      <alignment horizontal="left" vertical="center" indent="1"/>
    </xf>
    <xf numFmtId="49" fontId="90" fillId="0" borderId="0" xfId="0" applyNumberFormat="1" applyFont="1">
      <alignment vertical="top"/>
    </xf>
    <xf numFmtId="49" fontId="6" fillId="0" borderId="3" xfId="0" applyNumberFormat="1" applyFont="1" applyBorder="1" applyAlignment="1">
      <alignment vertical="center" wrapText="1"/>
    </xf>
    <xf numFmtId="0" fontId="31" fillId="0" borderId="0" xfId="0" applyNumberFormat="1" applyFont="1" applyAlignment="1">
      <alignment horizontal="center" vertical="center"/>
    </xf>
    <xf numFmtId="0" fontId="6" fillId="13" borderId="3" xfId="0" applyNumberFormat="1" applyFont="1" applyFill="1" applyBorder="1" applyAlignment="1">
      <alignment horizontal="left" vertical="center" wrapText="1" indent="6"/>
    </xf>
    <xf numFmtId="4" fontId="6" fillId="0" borderId="8" xfId="0" applyNumberFormat="1" applyFont="1" applyBorder="1" applyAlignment="1">
      <alignment horizontal="right" vertical="center" wrapText="1"/>
    </xf>
    <xf numFmtId="4" fontId="6" fillId="0" borderId="14" xfId="0" applyNumberFormat="1" applyFont="1" applyBorder="1" applyAlignment="1">
      <alignment horizontal="right" vertical="center" wrapText="1"/>
    </xf>
    <xf numFmtId="0" fontId="0" fillId="0" borderId="0" xfId="0" applyNumberFormat="1" applyFont="1" applyAlignment="1">
      <alignment vertical="center"/>
    </xf>
    <xf numFmtId="49" fontId="6" fillId="0" borderId="0" xfId="0" applyNumberFormat="1" applyFont="1" applyAlignment="1">
      <alignment vertical="center" wrapText="1"/>
    </xf>
    <xf numFmtId="0" fontId="6" fillId="0" borderId="8" xfId="0" applyNumberFormat="1" applyFont="1" applyBorder="1" applyAlignment="1">
      <alignment horizontal="center" vertical="center" wrapText="1"/>
    </xf>
    <xf numFmtId="0" fontId="63" fillId="8" borderId="10" xfId="0" applyNumberFormat="1" applyFont="1" applyFill="1" applyBorder="1" applyAlignment="1">
      <alignment horizontal="center" vertical="center" wrapText="1"/>
    </xf>
    <xf numFmtId="0" fontId="31"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6"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6" fillId="8" borderId="3" xfId="0" applyNumberFormat="1" applyFont="1" applyFill="1" applyBorder="1" applyAlignment="1">
      <alignment horizontal="left" vertical="center" wrapText="1"/>
    </xf>
    <xf numFmtId="49" fontId="6" fillId="0" borderId="3" xfId="0" applyNumberFormat="1" applyFont="1" applyBorder="1" applyAlignment="1">
      <alignment horizontal="left" vertical="center" wrapTex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49" fontId="30" fillId="0" borderId="0" xfId="0" applyNumberFormat="1" applyFont="1" applyAlignment="1">
      <alignment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0" fillId="0" borderId="3" xfId="0" applyNumberFormat="1" applyFont="1" applyBorder="1" applyAlignment="1">
      <alignment vertical="center" wrapText="1"/>
    </xf>
    <xf numFmtId="0" fontId="30" fillId="0" borderId="0" xfId="0" applyNumberFormat="1" applyFont="1" applyAlignment="1">
      <alignment vertical="center"/>
    </xf>
    <xf numFmtId="0" fontId="30" fillId="0" borderId="0" xfId="0" applyNumberFormat="1" applyFont="1" applyAlignment="1">
      <alignment horizontal="center" vertical="center"/>
    </xf>
    <xf numFmtId="0" fontId="30" fillId="0" borderId="0" xfId="0" applyNumberFormat="1" applyFont="1" applyAlignment="1">
      <alignment vertical="center"/>
    </xf>
    <xf numFmtId="0" fontId="52" fillId="0" borderId="0" xfId="0" applyNumberFormat="1" applyFont="1" applyAlignment="1">
      <alignment vertical="center" wrapText="1"/>
    </xf>
    <xf numFmtId="0" fontId="0" fillId="0" borderId="6" xfId="0" applyNumberFormat="1" applyFont="1" applyBorder="1" applyAlignment="1">
      <alignment vertical="center"/>
    </xf>
    <xf numFmtId="0" fontId="31" fillId="0" borderId="3" xfId="0" applyNumberFormat="1" applyFont="1" applyBorder="1" applyAlignment="1">
      <alignment horizontal="center" vertical="center" wrapText="1"/>
    </xf>
    <xf numFmtId="0" fontId="55" fillId="0" borderId="0" xfId="0" applyNumberFormat="1" applyFont="1" applyAlignment="1">
      <alignment horizontal="left" vertical="center" indent="1"/>
    </xf>
    <xf numFmtId="0" fontId="55" fillId="0" borderId="0" xfId="0" applyNumberFormat="1" applyFont="1" applyAlignment="1">
      <alignment horizontal="left" vertical="center" indent="1"/>
    </xf>
    <xf numFmtId="0" fontId="31" fillId="0" borderId="3" xfId="0" applyNumberFormat="1" applyFont="1" applyBorder="1" applyAlignment="1">
      <alignment vertical="center" wrapText="1"/>
    </xf>
    <xf numFmtId="0" fontId="55" fillId="0" borderId="0" xfId="0" applyNumberFormat="1" applyFont="1" applyAlignment="1">
      <alignment horizontal="center" vertical="center"/>
    </xf>
    <xf numFmtId="0" fontId="55" fillId="0" borderId="0" xfId="0" applyNumberFormat="1" applyFont="1" applyAlignment="1">
      <alignment horizontal="left" vertical="center" wrapText="1"/>
    </xf>
    <xf numFmtId="49" fontId="55" fillId="0" borderId="0" xfId="0" applyNumberFormat="1" applyFont="1" applyAlignment="1">
      <alignment horizontal="left" vertical="center"/>
    </xf>
    <xf numFmtId="0" fontId="6" fillId="0" borderId="0" xfId="0" applyNumberFormat="1" applyFont="1" applyAlignment="1">
      <alignment horizontal="center" vertical="center"/>
    </xf>
    <xf numFmtId="0" fontId="55" fillId="0" borderId="0" xfId="0" applyNumberFormat="1" applyFont="1" applyAlignment="1">
      <alignment horizontal="center" vertical="center"/>
    </xf>
    <xf numFmtId="4" fontId="6" fillId="0" borderId="4" xfId="0" applyNumberFormat="1" applyFont="1" applyBorder="1" applyAlignment="1">
      <alignment horizontal="right" vertical="center" wrapText="1"/>
    </xf>
    <xf numFmtId="0" fontId="31" fillId="0" borderId="3" xfId="0" applyNumberFormat="1" applyFont="1" applyBorder="1" applyAlignment="1">
      <alignment horizontal="left" vertical="center" wrapText="1" indent="4"/>
    </xf>
    <xf numFmtId="0" fontId="31" fillId="0" borderId="3" xfId="0" applyNumberFormat="1" applyFont="1" applyBorder="1" applyAlignment="1">
      <alignment horizontal="left" vertical="center" wrapText="1" indent="6"/>
    </xf>
    <xf numFmtId="0" fontId="31" fillId="0" borderId="3" xfId="0" applyNumberFormat="1" applyFont="1" applyBorder="1" applyAlignment="1">
      <alignment vertical="top" wrapText="1"/>
    </xf>
    <xf numFmtId="49" fontId="80" fillId="0" borderId="5" xfId="0" applyNumberFormat="1" applyFont="1" applyBorder="1" applyAlignment="1">
      <alignment horizontal="left" vertical="center"/>
    </xf>
    <xf numFmtId="49" fontId="31" fillId="0" borderId="6" xfId="0" applyNumberFormat="1" applyFont="1" applyBorder="1" applyAlignment="1">
      <alignment horizontal="left" vertical="center" indent="4"/>
    </xf>
    <xf numFmtId="49" fontId="31" fillId="0" borderId="6" xfId="0" applyNumberFormat="1" applyFont="1" applyBorder="1" applyAlignment="1">
      <alignment horizontal="center" vertical="center" wrapText="1"/>
    </xf>
    <xf numFmtId="49" fontId="31" fillId="0" borderId="4" xfId="0" applyNumberFormat="1" applyFont="1" applyBorder="1" applyAlignment="1">
      <alignment horizontal="center" vertical="center" wrapText="1"/>
    </xf>
    <xf numFmtId="4" fontId="6" fillId="0" borderId="27" xfId="0" applyNumberFormat="1" applyFont="1" applyBorder="1" applyAlignment="1">
      <alignment horizontal="right" vertical="center" wrapText="1"/>
    </xf>
    <xf numFmtId="0" fontId="6" fillId="9" borderId="3" xfId="0" applyNumberFormat="1" applyFont="1" applyFill="1" applyBorder="1" applyAlignment="1" applyProtection="1">
      <alignment horizontal="left" vertical="center" wrapText="1" indent="7"/>
      <protection locked="0"/>
    </xf>
    <xf numFmtId="0" fontId="6" fillId="10" borderId="6" xfId="0" applyNumberFormat="1" applyFont="1" applyFill="1" applyBorder="1" applyAlignment="1">
      <alignment horizontal="left" vertical="center" wrapText="1" indent="6"/>
    </xf>
    <xf numFmtId="4" fontId="6" fillId="10" borderId="6" xfId="0" applyNumberFormat="1" applyFont="1" applyFill="1" applyBorder="1" applyAlignment="1">
      <alignment horizontal="right" vertical="center" wrapText="1"/>
    </xf>
    <xf numFmtId="4" fontId="31" fillId="10" borderId="6" xfId="0" applyNumberFormat="1" applyFont="1" applyFill="1" applyBorder="1" applyAlignment="1">
      <alignment horizontal="center" vertical="center" wrapText="1"/>
    </xf>
    <xf numFmtId="4" fontId="6" fillId="10" borderId="4" xfId="0" applyNumberFormat="1" applyFont="1" applyFill="1" applyBorder="1" applyAlignment="1">
      <alignment horizontal="right" vertical="center" wrapText="1"/>
    </xf>
    <xf numFmtId="4" fontId="31" fillId="10" borderId="4" xfId="0" applyNumberFormat="1" applyFont="1" applyFill="1" applyBorder="1" applyAlignment="1">
      <alignment horizontal="center" vertical="center" wrapText="1"/>
    </xf>
    <xf numFmtId="165" fontId="6" fillId="10" borderId="4" xfId="0" applyNumberFormat="1" applyFont="1" applyFill="1" applyBorder="1" applyAlignment="1">
      <alignment horizontal="right" vertical="center" wrapText="1"/>
    </xf>
    <xf numFmtId="0" fontId="6" fillId="13" borderId="3" xfId="0" applyNumberFormat="1" applyFont="1" applyFill="1" applyBorder="1" applyAlignment="1">
      <alignment horizontal="left" vertical="center" wrapText="1" indent="1"/>
    </xf>
    <xf numFmtId="0" fontId="31" fillId="0" borderId="3" xfId="0" applyNumberFormat="1" applyFont="1" applyBorder="1" applyAlignment="1">
      <alignment horizontal="left" vertical="center" wrapText="1" indent="5"/>
    </xf>
    <xf numFmtId="49" fontId="55" fillId="0" borderId="15" xfId="0" applyNumberFormat="1" applyFont="1" applyBorder="1">
      <alignment vertical="top"/>
    </xf>
    <xf numFmtId="49" fontId="31" fillId="0" borderId="15" xfId="0" applyNumberFormat="1" applyFont="1" applyBorder="1">
      <alignment vertical="top"/>
    </xf>
    <xf numFmtId="0" fontId="6" fillId="0" borderId="3" xfId="0" applyNumberFormat="1" applyFont="1" applyBorder="1" applyAlignment="1">
      <alignment horizontal="left" vertical="center" wrapText="1" indent="1"/>
    </xf>
    <xf numFmtId="4" fontId="31" fillId="0" borderId="3" xfId="0" applyNumberFormat="1" applyFont="1" applyBorder="1" applyAlignment="1">
      <alignment horizontal="right" vertical="center" wrapText="1"/>
    </xf>
    <xf numFmtId="165" fontId="31" fillId="0" borderId="3" xfId="0" applyNumberFormat="1" applyFont="1" applyBorder="1" applyAlignment="1">
      <alignment horizontal="right" vertical="center" wrapText="1"/>
    </xf>
    <xf numFmtId="165" fontId="6" fillId="9" borderId="5" xfId="0" applyNumberFormat="1" applyFont="1" applyFill="1" applyBorder="1" applyAlignment="1" applyProtection="1">
      <alignment horizontal="right" vertical="center" wrapText="1"/>
      <protection locked="0"/>
    </xf>
    <xf numFmtId="4" fontId="31" fillId="0" borderId="5" xfId="0" applyNumberFormat="1" applyFont="1" applyBorder="1" applyAlignment="1">
      <alignment horizontal="center" vertical="center" wrapText="1"/>
    </xf>
    <xf numFmtId="4" fontId="6" fillId="9" borderId="4" xfId="0" applyNumberFormat="1" applyFont="1" applyFill="1" applyBorder="1" applyAlignment="1" applyProtection="1">
      <alignment horizontal="right" vertical="center" wrapText="1"/>
      <protection locked="0"/>
    </xf>
    <xf numFmtId="49" fontId="6" fillId="10" borderId="18" xfId="0" applyNumberFormat="1" applyFont="1" applyFill="1" applyBorder="1" applyAlignment="1">
      <alignment horizontal="center" vertical="center" wrapText="1"/>
    </xf>
    <xf numFmtId="49" fontId="30" fillId="0" borderId="0" xfId="0" applyNumberFormat="1" applyFont="1" applyAlignment="1">
      <alignment vertical="center" wrapText="1"/>
    </xf>
    <xf numFmtId="0" fontId="30" fillId="0" borderId="0" xfId="0" applyNumberFormat="1" applyFont="1" applyAlignment="1">
      <alignment horizontal="center" vertical="center" wrapText="1"/>
    </xf>
    <xf numFmtId="0" fontId="39" fillId="8" borderId="0" xfId="0" applyNumberFormat="1" applyFont="1" applyFill="1" applyAlignment="1">
      <alignment horizontal="center" vertical="center" wrapText="1"/>
    </xf>
    <xf numFmtId="0" fontId="39" fillId="0" borderId="0" xfId="0" applyNumberFormat="1" applyFont="1" applyAlignment="1">
      <alignment vertical="center" wrapText="1"/>
    </xf>
    <xf numFmtId="0" fontId="31" fillId="0" borderId="0" xfId="0" applyNumberFormat="1" applyFont="1" applyAlignment="1">
      <alignment vertical="center"/>
    </xf>
    <xf numFmtId="0" fontId="32" fillId="0" borderId="0" xfId="0" applyNumberFormat="1" applyFont="1" applyAlignment="1">
      <alignment vertical="center"/>
    </xf>
    <xf numFmtId="0" fontId="31" fillId="0" borderId="0" xfId="0" applyNumberFormat="1" applyFont="1" applyAlignment="1">
      <alignment vertical="center"/>
    </xf>
    <xf numFmtId="0" fontId="31" fillId="0" borderId="0" xfId="0" applyNumberFormat="1" applyFont="1" applyAlignment="1">
      <alignment vertical="center"/>
    </xf>
    <xf numFmtId="0" fontId="0" fillId="0" borderId="0" xfId="0" applyNumberFormat="1" applyFont="1" applyAlignment="1">
      <alignment vertical="center"/>
    </xf>
    <xf numFmtId="49" fontId="6"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6" fillId="0" borderId="10"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49" fontId="6" fillId="0" borderId="3" xfId="0" applyNumberFormat="1" applyFont="1" applyBorder="1" applyAlignment="1">
      <alignment horizontal="left" vertical="center" wrapText="1"/>
    </xf>
    <xf numFmtId="0" fontId="6" fillId="8" borderId="3" xfId="0" applyNumberFormat="1" applyFont="1" applyFill="1" applyBorder="1" applyAlignment="1">
      <alignment horizontal="left" vertical="center" wrapText="1"/>
    </xf>
    <xf numFmtId="0" fontId="31" fillId="0" borderId="0" xfId="0" applyNumberFormat="1" applyFont="1" applyAlignment="1">
      <alignment horizontal="center" vertical="center"/>
    </xf>
    <xf numFmtId="49" fontId="6" fillId="0" borderId="0" xfId="0" applyNumberFormat="1" applyFont="1" applyAlignment="1">
      <alignment horizontal="center" vertical="top"/>
    </xf>
    <xf numFmtId="49" fontId="15" fillId="0" borderId="0" xfId="0" applyNumberFormat="1" applyFont="1" applyAlignment="1">
      <alignment horizontal="center" vertical="center"/>
    </xf>
    <xf numFmtId="0" fontId="0" fillId="0" borderId="0" xfId="0" applyNumberFormat="1" applyFont="1" applyAlignment="1">
      <alignment horizontal="left" vertical="center"/>
    </xf>
    <xf numFmtId="0" fontId="3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3" fillId="10" borderId="20" xfId="0" applyNumberFormat="1" applyFont="1" applyFill="1" applyBorder="1" applyAlignment="1">
      <alignment horizontal="left" vertical="center"/>
    </xf>
    <xf numFmtId="49" fontId="31" fillId="0" borderId="5" xfId="0" applyNumberFormat="1" applyFont="1" applyBorder="1" applyAlignment="1">
      <alignment horizontal="left" vertical="center" wrapText="1"/>
    </xf>
    <xf numFmtId="0" fontId="31" fillId="0" borderId="5" xfId="0" applyNumberFormat="1" applyFont="1" applyBorder="1" applyAlignment="1">
      <alignment horizontal="left" vertical="center"/>
    </xf>
    <xf numFmtId="0" fontId="31" fillId="0" borderId="6" xfId="0" applyNumberFormat="1" applyFont="1" applyBorder="1" applyAlignment="1">
      <alignment horizontal="left" vertical="center"/>
    </xf>
    <xf numFmtId="49" fontId="6" fillId="9" borderId="3" xfId="0" applyNumberFormat="1" applyFont="1" applyFill="1" applyBorder="1" applyAlignment="1" applyProtection="1">
      <alignment horizontal="left" vertical="center" wrapText="1" indent="6"/>
      <protection locked="0"/>
    </xf>
    <xf numFmtId="4" fontId="6" fillId="0" borderId="28" xfId="0" applyNumberFormat="1" applyFont="1" applyBorder="1" applyAlignment="1">
      <alignment horizontal="right" vertical="center" wrapText="1"/>
    </xf>
    <xf numFmtId="4" fontId="6"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3" fillId="0" borderId="0" xfId="0" applyNumberFormat="1" applyFont="1" applyAlignment="1">
      <alignment vertical="center" wrapText="1"/>
    </xf>
    <xf numFmtId="49" fontId="6" fillId="0" borderId="10"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6" fillId="0" borderId="0" xfId="0" applyNumberFormat="1" applyFont="1" applyAlignment="1">
      <alignment vertical="center" wrapText="1"/>
    </xf>
    <xf numFmtId="0" fontId="30" fillId="0" borderId="0" xfId="0" applyNumberFormat="1" applyFont="1" applyAlignment="1">
      <alignment horizontal="center" vertical="center" wrapText="1"/>
    </xf>
    <xf numFmtId="0" fontId="6" fillId="8" borderId="3" xfId="0" applyNumberFormat="1" applyFont="1" applyFill="1" applyBorder="1" applyAlignment="1">
      <alignment horizontal="center" vertical="center" wrapText="1"/>
    </xf>
    <xf numFmtId="0" fontId="6" fillId="0" borderId="0" xfId="0" applyNumberFormat="1" applyFont="1" applyAlignment="1">
      <alignment horizontal="left" vertical="top" wrapText="1"/>
    </xf>
    <xf numFmtId="0" fontId="31" fillId="0" borderId="0" xfId="0" applyNumberFormat="1" applyFont="1" applyAlignment="1">
      <alignment horizontal="center" vertical="center" wrapText="1"/>
    </xf>
    <xf numFmtId="0" fontId="63" fillId="8" borderId="10" xfId="0" applyNumberFormat="1" applyFont="1" applyFill="1" applyBorder="1" applyAlignment="1">
      <alignment horizontal="center" vertical="center" wrapText="1"/>
    </xf>
    <xf numFmtId="0" fontId="6" fillId="0" borderId="8"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6" fillId="0" borderId="3" xfId="0" applyNumberFormat="1" applyFont="1" applyBorder="1" applyAlignment="1">
      <alignment horizontal="left" vertical="center" wrapText="1"/>
    </xf>
    <xf numFmtId="0" fontId="6" fillId="8" borderId="3" xfId="0" applyNumberFormat="1" applyFont="1" applyFill="1" applyBorder="1" applyAlignment="1">
      <alignment horizontal="left" vertical="center" wrapText="1"/>
    </xf>
    <xf numFmtId="0" fontId="31" fillId="0" borderId="0" xfId="0" applyNumberFormat="1" applyFont="1" applyAlignment="1">
      <alignment horizontal="center" vertical="center"/>
    </xf>
    <xf numFmtId="49" fontId="6" fillId="13" borderId="3" xfId="0" applyNumberFormat="1" applyFont="1" applyFill="1" applyBorder="1" applyAlignment="1">
      <alignment horizontal="center" vertical="center" wrapText="1"/>
    </xf>
    <xf numFmtId="49" fontId="31"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6" fillId="8" borderId="3" xfId="0" applyNumberFormat="1" applyFont="1" applyFill="1" applyBorder="1" applyAlignment="1">
      <alignment horizontal="center" vertical="center" wrapText="1"/>
    </xf>
    <xf numFmtId="0" fontId="31" fillId="0" borderId="0" xfId="0" applyNumberFormat="1" applyFont="1" applyAlignment="1">
      <alignment horizontal="center" vertical="center"/>
    </xf>
    <xf numFmtId="0" fontId="6" fillId="8" borderId="3" xfId="0" applyNumberFormat="1" applyFont="1" applyFill="1" applyBorder="1" applyAlignment="1">
      <alignment horizontal="left" vertical="center" wrapText="1"/>
    </xf>
    <xf numFmtId="49" fontId="6"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6" fillId="0" borderId="0" xfId="0" applyNumberFormat="1" applyFont="1" applyAlignment="1">
      <alignment horizontal="center" vertical="center" wrapText="1"/>
    </xf>
    <xf numFmtId="49" fontId="6" fillId="13" borderId="3" xfId="0" applyNumberFormat="1" applyFont="1" applyFill="1" applyBorder="1" applyAlignment="1">
      <alignment horizontal="center" vertical="center" wrapText="1"/>
    </xf>
    <xf numFmtId="49" fontId="6" fillId="0" borderId="10"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6" fillId="0" borderId="0" xfId="0" applyNumberFormat="1" applyFont="1" applyAlignment="1">
      <alignment vertical="center" wrapText="1"/>
    </xf>
    <xf numFmtId="49" fontId="6" fillId="8" borderId="3" xfId="0" applyNumberFormat="1" applyFont="1" applyFill="1" applyBorder="1" applyAlignment="1">
      <alignment horizontal="center" vertical="center" wrapText="1"/>
    </xf>
    <xf numFmtId="0" fontId="31"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6" fillId="8" borderId="15"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 fillId="8" borderId="3" xfId="0" applyNumberFormat="1" applyFont="1" applyFill="1" applyBorder="1" applyAlignment="1">
      <alignment horizontal="center" vertical="center" wrapText="1"/>
    </xf>
    <xf numFmtId="0" fontId="6" fillId="0" borderId="0" xfId="0" applyNumberFormat="1" applyFont="1" applyAlignment="1">
      <alignment horizontal="left" vertical="top" wrapText="1"/>
    </xf>
    <xf numFmtId="0" fontId="31" fillId="0" borderId="0" xfId="0" applyNumberFormat="1" applyFont="1" applyAlignment="1">
      <alignment horizontal="center" vertical="center" wrapText="1"/>
    </xf>
    <xf numFmtId="0" fontId="63" fillId="8" borderId="10" xfId="0" applyNumberFormat="1" applyFont="1" applyFill="1" applyBorder="1" applyAlignment="1">
      <alignment horizontal="center" vertical="center" wrapText="1"/>
    </xf>
    <xf numFmtId="0" fontId="6" fillId="0" borderId="8" xfId="0" applyNumberFormat="1" applyFont="1" applyBorder="1" applyAlignment="1">
      <alignment horizontal="center" vertical="center" wrapText="1"/>
    </xf>
    <xf numFmtId="0" fontId="6" fillId="0" borderId="3" xfId="0" applyNumberFormat="1" applyFont="1" applyBorder="1" applyAlignment="1">
      <alignment horizontal="center" vertical="center" wrapText="1"/>
    </xf>
    <xf numFmtId="49" fontId="31" fillId="0" borderId="3" xfId="0" applyNumberFormat="1" applyFont="1" applyBorder="1" applyAlignment="1">
      <alignment horizontal="center" vertical="center" wrapText="1"/>
    </xf>
    <xf numFmtId="49" fontId="6" fillId="8" borderId="3" xfId="0" applyNumberFormat="1" applyFont="1" applyFill="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6" fillId="0" borderId="3" xfId="0" applyNumberFormat="1" applyFont="1" applyBorder="1" applyAlignment="1">
      <alignment horizontal="left" vertical="center" wrapText="1"/>
    </xf>
    <xf numFmtId="49" fontId="6" fillId="13" borderId="3" xfId="0" applyNumberFormat="1" applyFont="1" applyFill="1" applyBorder="1" applyAlignment="1">
      <alignment horizontal="left" vertical="center" wrapText="1"/>
    </xf>
    <xf numFmtId="49" fontId="6" fillId="12" borderId="3" xfId="0" applyNumberFormat="1" applyFont="1" applyFill="1" applyBorder="1" applyAlignment="1" applyProtection="1">
      <alignment horizontal="left" vertical="center" wrapText="1" indent="1"/>
      <protection locked="0"/>
    </xf>
    <xf numFmtId="0" fontId="6" fillId="8" borderId="3" xfId="0" applyNumberFormat="1" applyFont="1" applyFill="1" applyBorder="1" applyAlignment="1">
      <alignment horizontal="left" vertical="center" wrapText="1"/>
    </xf>
    <xf numFmtId="0" fontId="31" fillId="0" borderId="0" xfId="0" applyNumberFormat="1" applyFont="1" applyAlignment="1">
      <alignment horizontal="center" vertical="center"/>
    </xf>
    <xf numFmtId="0" fontId="20" fillId="0" borderId="0" xfId="0" applyNumberFormat="1" applyFont="1" applyAlignment="1">
      <alignment horizontal="center" vertical="center" wrapText="1"/>
    </xf>
    <xf numFmtId="165" fontId="6" fillId="10" borderId="6" xfId="0" applyNumberFormat="1" applyFont="1" applyFill="1" applyBorder="1" applyAlignment="1">
      <alignment horizontal="right" vertical="center" wrapText="1"/>
    </xf>
    <xf numFmtId="0" fontId="94" fillId="0" borderId="0" xfId="0" applyNumberFormat="1" applyFont="1" applyAlignment="1">
      <alignment vertical="center" wrapText="1"/>
    </xf>
    <xf numFmtId="0" fontId="94" fillId="8" borderId="0" xfId="0" applyNumberFormat="1" applyFont="1" applyFill="1" applyAlignment="1">
      <alignment horizontal="center" vertical="center" wrapText="1"/>
    </xf>
    <xf numFmtId="0" fontId="31" fillId="8" borderId="3" xfId="0" applyNumberFormat="1" applyFont="1" applyFill="1" applyBorder="1" applyAlignment="1">
      <alignment horizontal="left" vertical="center" wrapText="1" indent="3"/>
    </xf>
    <xf numFmtId="49" fontId="23" fillId="10" borderId="18" xfId="0" applyNumberFormat="1" applyFont="1" applyFill="1" applyBorder="1" applyAlignment="1">
      <alignment horizontal="left" vertical="center"/>
    </xf>
    <xf numFmtId="0" fontId="94" fillId="0" borderId="0" xfId="0" applyNumberFormat="1" applyFont="1" applyAlignment="1">
      <alignment horizontal="center" vertical="center" wrapText="1"/>
    </xf>
    <xf numFmtId="49" fontId="31" fillId="0" borderId="0" xfId="0" applyNumberFormat="1" applyFont="1" applyAlignment="1">
      <alignment horizontal="left" vertical="center" wrapText="1" indent="1"/>
    </xf>
    <xf numFmtId="0" fontId="31" fillId="0" borderId="0" xfId="0" applyNumberFormat="1" applyFont="1" applyAlignment="1">
      <alignment horizontal="left" vertical="center" wrapText="1" indent="4"/>
    </xf>
    <xf numFmtId="0" fontId="31" fillId="0" borderId="0" xfId="0" applyNumberFormat="1" applyFont="1" applyAlignment="1">
      <alignment horizontal="left" vertical="center" wrapText="1" indent="1"/>
    </xf>
    <xf numFmtId="49" fontId="6" fillId="10" borderId="5" xfId="0" applyNumberFormat="1" applyFont="1" applyFill="1" applyBorder="1" applyAlignment="1">
      <alignment horizontal="center" vertical="center" wrapText="1"/>
    </xf>
    <xf numFmtId="0" fontId="31" fillId="0" borderId="15" xfId="0" applyNumberFormat="1" applyFont="1" applyBorder="1" applyAlignment="1">
      <alignment horizontal="left" vertical="center" wrapText="1" indent="1"/>
    </xf>
    <xf numFmtId="0" fontId="30" fillId="0" borderId="0" xfId="0" applyNumberFormat="1" applyFont="1" applyAlignment="1">
      <alignment horizontal="left" vertical="center"/>
    </xf>
    <xf numFmtId="49" fontId="30" fillId="0" borderId="0" xfId="0" applyNumberFormat="1" applyFont="1" applyAlignment="1">
      <alignment horizontal="left" vertical="center"/>
    </xf>
    <xf numFmtId="0" fontId="30" fillId="0" borderId="0" xfId="0" applyNumberFormat="1" applyFont="1" applyAlignment="1">
      <alignment horizontal="left" vertical="center"/>
    </xf>
    <xf numFmtId="0" fontId="52" fillId="0" borderId="0" xfId="0" applyNumberFormat="1" applyFont="1" applyAlignment="1">
      <alignment horizontal="left" vertical="center"/>
    </xf>
    <xf numFmtId="0" fontId="31" fillId="0" borderId="0" xfId="0" applyNumberFormat="1" applyFont="1" applyAlignment="1">
      <alignment horizontal="left" vertical="center"/>
    </xf>
    <xf numFmtId="49" fontId="6" fillId="0" borderId="0" xfId="0" applyNumberFormat="1" applyFont="1" applyAlignment="1">
      <alignment horizontal="center" vertical="center" wrapText="1"/>
    </xf>
    <xf numFmtId="49" fontId="6" fillId="0" borderId="10" xfId="0" applyNumberFormat="1" applyFont="1" applyBorder="1" applyAlignment="1">
      <alignment horizontal="center" vertical="center" wrapText="1"/>
    </xf>
    <xf numFmtId="49" fontId="6" fillId="0" borderId="10"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0" fillId="8" borderId="0" xfId="0" applyNumberFormat="1" applyFont="1" applyFill="1" applyAlignment="1">
      <alignment horizontal="center" vertical="center" wrapText="1"/>
    </xf>
    <xf numFmtId="49" fontId="30" fillId="0" borderId="0" xfId="0" applyNumberFormat="1" applyFont="1" applyAlignment="1">
      <alignment horizontal="left" vertical="center"/>
    </xf>
    <xf numFmtId="49" fontId="30" fillId="0" borderId="0" xfId="0" applyNumberFormat="1" applyFont="1" applyAlignment="1">
      <alignment horizontal="left" vertical="center"/>
    </xf>
    <xf numFmtId="49" fontId="30" fillId="0" borderId="0" xfId="0" applyNumberFormat="1" applyFont="1" applyAlignment="1">
      <alignment horizontal="left" vertical="top"/>
    </xf>
    <xf numFmtId="49" fontId="6" fillId="8" borderId="3" xfId="0" applyNumberFormat="1" applyFont="1" applyFill="1" applyBorder="1" applyAlignment="1">
      <alignment horizontal="center" vertical="center"/>
    </xf>
    <xf numFmtId="0" fontId="6" fillId="0" borderId="3" xfId="0" applyNumberFormat="1" applyFont="1" applyBorder="1" applyAlignment="1">
      <alignment horizontal="center" vertical="center" wrapText="1"/>
    </xf>
    <xf numFmtId="0" fontId="6" fillId="8" borderId="3" xfId="0" applyNumberFormat="1" applyFont="1" applyFill="1" applyBorder="1" applyAlignment="1">
      <alignment horizontal="left" vertical="center" wrapText="1" indent="1"/>
    </xf>
    <xf numFmtId="49" fontId="6" fillId="0" borderId="3" xfId="0" applyNumberFormat="1" applyFont="1" applyBorder="1" applyAlignment="1">
      <alignment horizontal="center" vertical="center"/>
    </xf>
    <xf numFmtId="0" fontId="6" fillId="0" borderId="3" xfId="0" applyNumberFormat="1" applyFont="1" applyBorder="1" applyAlignment="1">
      <alignment horizontal="left" vertical="center" wrapText="1" indent="1"/>
    </xf>
    <xf numFmtId="0" fontId="6" fillId="0" borderId="3" xfId="0" applyNumberFormat="1" applyFont="1" applyBorder="1" applyAlignment="1">
      <alignment vertical="center" wrapText="1"/>
    </xf>
    <xf numFmtId="49" fontId="6" fillId="12" borderId="3" xfId="0" applyNumberFormat="1" applyFont="1" applyFill="1" applyBorder="1" applyAlignment="1" applyProtection="1">
      <alignment horizontal="left" vertical="center" wrapText="1"/>
      <protection locked="0"/>
    </xf>
    <xf numFmtId="0" fontId="6" fillId="8" borderId="3" xfId="0" applyNumberFormat="1" applyFont="1" applyFill="1" applyBorder="1" applyAlignment="1">
      <alignment horizontal="left" vertical="center" wrapText="1"/>
    </xf>
    <xf numFmtId="0" fontId="31" fillId="8" borderId="3" xfId="0" applyNumberFormat="1" applyFont="1" applyFill="1" applyBorder="1" applyAlignment="1">
      <alignment horizontal="center" vertical="center"/>
    </xf>
    <xf numFmtId="0" fontId="55" fillId="8" borderId="0" xfId="0" applyNumberFormat="1" applyFont="1" applyFill="1" applyAlignment="1">
      <alignment vertical="center" wrapText="1"/>
    </xf>
    <xf numFmtId="0" fontId="50" fillId="8" borderId="0" xfId="0" applyNumberFormat="1" applyFont="1" applyFill="1" applyAlignment="1"/>
    <xf numFmtId="49" fontId="6" fillId="9" borderId="3" xfId="0" applyNumberFormat="1" applyFont="1" applyFill="1" applyBorder="1" applyAlignment="1" applyProtection="1">
      <alignment horizontal="left" vertical="center" wrapText="1"/>
      <protection locked="0"/>
    </xf>
    <xf numFmtId="0" fontId="67" fillId="8" borderId="0" xfId="0" applyNumberFormat="1" applyFont="1" applyFill="1" applyAlignment="1"/>
    <xf numFmtId="0" fontId="51" fillId="8" borderId="0" xfId="0" applyNumberFormat="1" applyFont="1" applyFill="1" applyAlignment="1"/>
    <xf numFmtId="14" fontId="6" fillId="12" borderId="14" xfId="0" applyNumberFormat="1" applyFont="1" applyFill="1" applyBorder="1" applyAlignment="1" applyProtection="1">
      <alignment horizontal="left" vertical="center" wrapText="1" indent="1"/>
      <protection locked="0"/>
    </xf>
    <xf numFmtId="0" fontId="95" fillId="0" borderId="0" xfId="0" applyNumberFormat="1" applyFont="1" applyAlignment="1">
      <alignment vertical="center"/>
    </xf>
    <xf numFmtId="0" fontId="95" fillId="0" borderId="0" xfId="0" applyNumberFormat="1" applyFont="1" applyAlignment="1">
      <alignment vertical="center" wrapText="1"/>
    </xf>
    <xf numFmtId="164" fontId="6" fillId="0" borderId="14" xfId="0" applyNumberFormat="1" applyFont="1" applyBorder="1" applyAlignment="1">
      <alignment horizontal="center" vertical="center" wrapText="1"/>
    </xf>
    <xf numFmtId="14" fontId="6" fillId="12" borderId="3" xfId="0" applyNumberFormat="1" applyFont="1" applyFill="1" applyBorder="1" applyAlignment="1" applyProtection="1">
      <alignment horizontal="left" vertical="center" wrapText="1" indent="1"/>
      <protection locked="0"/>
    </xf>
    <xf numFmtId="0" fontId="6" fillId="7" borderId="14" xfId="0" applyNumberFormat="1" applyFont="1" applyFill="1" applyBorder="1" applyAlignment="1">
      <alignment horizontal="left" vertical="center" wrapText="1" indent="1"/>
    </xf>
    <xf numFmtId="164" fontId="6" fillId="0" borderId="8" xfId="0" applyNumberFormat="1" applyFont="1" applyBorder="1" applyAlignment="1">
      <alignment horizontal="center" vertical="center" wrapText="1"/>
    </xf>
    <xf numFmtId="49" fontId="33"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6" fillId="10" borderId="18" xfId="0" applyNumberFormat="1" applyFont="1" applyFill="1" applyBorder="1" applyAlignment="1">
      <alignment horizontal="left" vertical="center" wrapText="1"/>
    </xf>
    <xf numFmtId="0" fontId="31" fillId="0" borderId="18" xfId="0" applyNumberFormat="1" applyFont="1" applyBorder="1" applyAlignment="1">
      <alignment horizontal="center" vertical="center" wrapText="1"/>
    </xf>
    <xf numFmtId="0" fontId="31" fillId="0" borderId="0" xfId="0" applyNumberFormat="1" applyFont="1" applyAlignment="1">
      <alignment horizontal="center" vertical="center"/>
    </xf>
    <xf numFmtId="0" fontId="25" fillId="0" borderId="0" xfId="0" applyNumberFormat="1" applyFont="1" applyAlignment="1">
      <alignment horizontal="center" vertical="center" wrapText="1"/>
    </xf>
    <xf numFmtId="14" fontId="6" fillId="13" borderId="3" xfId="0" applyNumberFormat="1" applyFont="1" applyFill="1" applyBorder="1" applyAlignment="1">
      <alignment horizontal="left" vertical="center" wrapText="1"/>
    </xf>
    <xf numFmtId="164" fontId="6" fillId="0" borderId="28" xfId="0" applyNumberFormat="1" applyFont="1" applyBorder="1" applyAlignment="1">
      <alignment horizontal="center" vertical="center" wrapText="1"/>
    </xf>
    <xf numFmtId="0" fontId="6" fillId="12" borderId="3" xfId="0" applyNumberFormat="1" applyFont="1" applyFill="1" applyBorder="1" applyAlignment="1" applyProtection="1">
      <alignment horizontal="center" vertical="center" wrapText="1"/>
      <protection locked="0"/>
    </xf>
    <xf numFmtId="0" fontId="30" fillId="8" borderId="0" xfId="0" applyNumberFormat="1" applyFont="1" applyFill="1" applyAlignment="1"/>
    <xf numFmtId="0" fontId="6" fillId="0" borderId="6" xfId="0" applyNumberFormat="1" applyFont="1" applyBorder="1" applyAlignment="1">
      <alignment horizontal="right" vertical="center" wrapText="1" indent="1"/>
    </xf>
    <xf numFmtId="0" fontId="6" fillId="7" borderId="5" xfId="0" applyNumberFormat="1" applyFont="1" applyFill="1" applyBorder="1" applyAlignment="1">
      <alignment horizontal="left" vertical="top" wrapText="1"/>
    </xf>
    <xf numFmtId="49" fontId="31" fillId="0" borderId="0" xfId="0" applyNumberFormat="1" applyFont="1" applyAlignment="1">
      <alignment horizontal="center" vertical="center"/>
    </xf>
    <xf numFmtId="49" fontId="50" fillId="0" borderId="0" xfId="0" applyNumberFormat="1" applyFont="1">
      <alignment vertical="top"/>
    </xf>
    <xf numFmtId="0" fontId="25" fillId="0" borderId="0" xfId="0" applyNumberFormat="1" applyFont="1" applyAlignment="1">
      <alignment vertical="center"/>
    </xf>
    <xf numFmtId="0" fontId="6" fillId="0" borderId="27" xfId="0" applyNumberFormat="1" applyFont="1" applyBorder="1" applyAlignment="1">
      <alignment horizontal="center" vertical="center" wrapText="1"/>
    </xf>
    <xf numFmtId="0" fontId="6" fillId="0" borderId="28" xfId="0" applyNumberFormat="1" applyFont="1" applyBorder="1" applyAlignment="1">
      <alignment horizontal="center" vertical="center" wrapText="1"/>
    </xf>
    <xf numFmtId="0" fontId="6" fillId="0" borderId="8" xfId="0" applyNumberFormat="1" applyFont="1" applyBorder="1" applyAlignment="1">
      <alignment horizontal="center" vertical="center" wrapText="1"/>
    </xf>
    <xf numFmtId="0" fontId="6" fillId="0" borderId="13" xfId="0" applyNumberFormat="1" applyFont="1" applyBorder="1" applyAlignment="1">
      <alignment horizontal="center" vertical="center" wrapText="1"/>
    </xf>
    <xf numFmtId="49" fontId="6" fillId="0" borderId="27" xfId="0" applyNumberFormat="1" applyFont="1" applyBorder="1" applyAlignment="1">
      <alignment horizontal="left" vertical="center" wrapText="1"/>
    </xf>
    <xf numFmtId="49" fontId="6" fillId="0" borderId="27" xfId="0" applyNumberFormat="1" applyFont="1" applyBorder="1" applyAlignment="1">
      <alignment horizontal="center" vertical="center" wrapText="1"/>
    </xf>
    <xf numFmtId="49" fontId="6" fillId="0" borderId="8" xfId="0" applyNumberFormat="1" applyFont="1" applyBorder="1" applyAlignment="1">
      <alignment horizontal="center" vertical="center" wrapText="1"/>
    </xf>
    <xf numFmtId="0" fontId="6" fillId="0" borderId="27" xfId="0" applyNumberFormat="1" applyFont="1" applyBorder="1" applyAlignment="1">
      <alignment horizontal="left" vertical="center" wrapText="1"/>
    </xf>
    <xf numFmtId="49" fontId="6" fillId="0" borderId="27" xfId="0" applyNumberFormat="1" applyFont="1" applyBorder="1" applyAlignment="1">
      <alignment vertical="center" wrapText="1"/>
    </xf>
    <xf numFmtId="0" fontId="6" fillId="0" borderId="14" xfId="0" applyNumberFormat="1" applyFont="1" applyBorder="1" applyAlignment="1">
      <alignment horizontal="left" vertical="center" wrapText="1"/>
    </xf>
    <xf numFmtId="0" fontId="23" fillId="0" borderId="14" xfId="0" applyNumberFormat="1" applyFont="1" applyBorder="1" applyAlignment="1">
      <alignment horizontal="left" vertical="center"/>
    </xf>
    <xf numFmtId="0" fontId="23" fillId="10" borderId="5" xfId="0" applyNumberFormat="1" applyFont="1" applyFill="1" applyBorder="1" applyAlignment="1">
      <alignment horizontal="left" vertical="center"/>
    </xf>
    <xf numFmtId="0" fontId="23" fillId="0" borderId="27" xfId="0" applyNumberFormat="1" applyFont="1" applyBorder="1" applyAlignment="1">
      <alignment horizontal="left" vertical="center"/>
    </xf>
    <xf numFmtId="0" fontId="23" fillId="10" borderId="28" xfId="0" applyNumberFormat="1" applyFont="1" applyFill="1" applyBorder="1" applyAlignment="1">
      <alignment horizontal="left" vertical="center"/>
    </xf>
    <xf numFmtId="49" fontId="50" fillId="10" borderId="5" xfId="0" applyNumberFormat="1" applyFont="1" applyFill="1" applyBorder="1">
      <alignment vertical="top"/>
    </xf>
    <xf numFmtId="49" fontId="50" fillId="10" borderId="6" xfId="0" applyNumberFormat="1" applyFont="1" applyFill="1" applyBorder="1">
      <alignment vertical="top"/>
    </xf>
    <xf numFmtId="49" fontId="6" fillId="13" borderId="8" xfId="0" applyNumberFormat="1" applyFont="1" applyFill="1" applyBorder="1" applyAlignment="1">
      <alignment vertical="center" wrapText="1"/>
    </xf>
    <xf numFmtId="0" fontId="6" fillId="0" borderId="28" xfId="0" applyNumberFormat="1" applyFont="1" applyBorder="1" applyAlignment="1">
      <alignment horizontal="center" vertical="center" wrapText="1"/>
    </xf>
    <xf numFmtId="49" fontId="0" fillId="0" borderId="0" xfId="0" applyNumberFormat="1" applyFont="1">
      <alignment vertical="top"/>
    </xf>
    <xf numFmtId="49" fontId="30" fillId="0" borderId="0" xfId="0" applyNumberFormat="1" applyFont="1" applyAlignment="1">
      <alignment horizontal="center" vertical="center"/>
    </xf>
    <xf numFmtId="0" fontId="96" fillId="0" borderId="0" xfId="0" applyNumberFormat="1" applyFont="1" applyAlignment="1">
      <alignment vertical="center" wrapText="1"/>
    </xf>
    <xf numFmtId="0" fontId="97" fillId="0" borderId="0" xfId="0" applyNumberFormat="1" applyFont="1" applyAlignment="1">
      <alignment vertical="center" wrapText="1"/>
    </xf>
    <xf numFmtId="0" fontId="6" fillId="0" borderId="8" xfId="0" applyNumberFormat="1" applyFont="1" applyBorder="1" applyAlignment="1">
      <alignment horizontal="center" vertical="center" wrapText="1"/>
    </xf>
    <xf numFmtId="49" fontId="6" fillId="0" borderId="8" xfId="0" applyNumberFormat="1" applyFont="1" applyBorder="1" applyAlignment="1">
      <alignment horizontal="left" vertical="center" wrapText="1"/>
    </xf>
    <xf numFmtId="49" fontId="6" fillId="0" borderId="8" xfId="0" applyNumberFormat="1" applyFont="1" applyBorder="1" applyAlignment="1">
      <alignment horizontal="left" vertical="center" wrapText="1"/>
    </xf>
    <xf numFmtId="49" fontId="6" fillId="0" borderId="8" xfId="0" applyNumberFormat="1" applyFont="1" applyBorder="1" applyAlignment="1">
      <alignment horizontal="center" vertical="center" wrapText="1"/>
    </xf>
    <xf numFmtId="0" fontId="6" fillId="0" borderId="8" xfId="0" applyNumberFormat="1" applyFont="1" applyBorder="1" applyAlignment="1">
      <alignment horizontal="left" vertical="center" wrapText="1"/>
    </xf>
    <xf numFmtId="0" fontId="6" fillId="0" borderId="0" xfId="0" applyNumberFormat="1" applyFont="1" applyAlignment="1">
      <alignment horizontal="left" vertical="center" wrapText="1"/>
    </xf>
    <xf numFmtId="49" fontId="6" fillId="0" borderId="10" xfId="0" applyNumberFormat="1" applyFont="1" applyBorder="1" applyAlignment="1">
      <alignment vertical="center" wrapText="1"/>
    </xf>
    <xf numFmtId="49" fontId="6" fillId="0" borderId="10" xfId="0" applyNumberFormat="1" applyFont="1" applyBorder="1" applyAlignment="1">
      <alignment horizontal="left" vertical="center" wrapText="1"/>
    </xf>
    <xf numFmtId="49" fontId="20" fillId="0" borderId="10" xfId="0" applyNumberFormat="1" applyFont="1" applyBorder="1" applyAlignment="1">
      <alignment vertical="center" wrapText="1"/>
    </xf>
    <xf numFmtId="49" fontId="6" fillId="0" borderId="10" xfId="0" applyNumberFormat="1" applyFont="1" applyBorder="1" applyAlignment="1">
      <alignment horizontal="center" vertical="center" wrapText="1"/>
    </xf>
    <xf numFmtId="0" fontId="6" fillId="0" borderId="10" xfId="0" applyNumberFormat="1" applyFont="1" applyBorder="1" applyAlignment="1">
      <alignment horizontal="left" vertical="center" wrapText="1"/>
    </xf>
    <xf numFmtId="49" fontId="6" fillId="0" borderId="10" xfId="0" applyNumberFormat="1" applyFont="1" applyBorder="1" applyAlignment="1">
      <alignment vertical="center" wrapText="1"/>
    </xf>
    <xf numFmtId="49" fontId="6" fillId="0" borderId="0" xfId="0" applyNumberFormat="1" applyFont="1" applyAlignment="1">
      <alignment vertical="center" wrapText="1"/>
    </xf>
    <xf numFmtId="49" fontId="6" fillId="0" borderId="0" xfId="0" applyNumberFormat="1" applyFont="1" applyAlignment="1">
      <alignment horizontal="left" vertical="center" wrapText="1"/>
    </xf>
    <xf numFmtId="49" fontId="20" fillId="0" borderId="0" xfId="0" applyNumberFormat="1" applyFont="1" applyAlignment="1">
      <alignment vertical="center" wrapText="1"/>
    </xf>
    <xf numFmtId="49" fontId="6" fillId="0" borderId="0" xfId="0" applyNumberFormat="1" applyFont="1" applyAlignment="1">
      <alignment horizontal="center" vertical="center" wrapText="1"/>
    </xf>
    <xf numFmtId="0" fontId="6" fillId="0" borderId="0" xfId="0" applyNumberFormat="1" applyFont="1" applyAlignment="1">
      <alignment horizontal="left" vertical="center" wrapText="1"/>
    </xf>
    <xf numFmtId="0" fontId="23" fillId="0" borderId="0" xfId="0" applyNumberFormat="1" applyFont="1" applyAlignment="1">
      <alignment horizontal="left" vertical="center"/>
    </xf>
    <xf numFmtId="49" fontId="20" fillId="0" borderId="0" xfId="0" applyNumberFormat="1" applyFont="1" applyAlignment="1">
      <alignment horizontal="center" vertical="center" wrapText="1"/>
    </xf>
    <xf numFmtId="0" fontId="23" fillId="0" borderId="0" xfId="0" applyNumberFormat="1" applyFont="1" applyAlignment="1">
      <alignment vertical="center"/>
    </xf>
    <xf numFmtId="49" fontId="50" fillId="0" borderId="21" xfId="0" applyNumberFormat="1" applyFont="1" applyBorder="1">
      <alignment vertical="top"/>
    </xf>
    <xf numFmtId="49" fontId="6" fillId="0" borderId="28" xfId="0" applyNumberFormat="1" applyFont="1" applyBorder="1" applyAlignment="1">
      <alignment vertical="center" wrapText="1"/>
    </xf>
    <xf numFmtId="49" fontId="6" fillId="0" borderId="13" xfId="0" applyNumberFormat="1" applyFont="1" applyBorder="1" applyAlignment="1">
      <alignment vertical="center" wrapText="1"/>
    </xf>
    <xf numFmtId="0" fontId="23" fillId="0" borderId="13" xfId="0" applyNumberFormat="1" applyFont="1" applyBorder="1" applyAlignment="1">
      <alignment horizontal="left" vertical="center"/>
    </xf>
    <xf numFmtId="49" fontId="50" fillId="0" borderId="18" xfId="0" applyNumberFormat="1" applyFont="1" applyBorder="1">
      <alignment vertical="top"/>
    </xf>
    <xf numFmtId="49" fontId="6" fillId="0" borderId="27" xfId="0" applyNumberFormat="1" applyFont="1" applyBorder="1" applyAlignment="1">
      <alignment horizontal="center" vertical="center" wrapText="1"/>
    </xf>
    <xf numFmtId="0" fontId="23"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6" fillId="0" borderId="0" xfId="0" applyNumberFormat="1" applyFont="1" applyAlignment="1">
      <alignment vertical="center" wrapText="1"/>
    </xf>
    <xf numFmtId="0" fontId="15" fillId="0" borderId="0" xfId="0" applyNumberFormat="1" applyFont="1" applyAlignment="1">
      <alignment vertical="center" wrapText="1"/>
    </xf>
    <xf numFmtId="0" fontId="25" fillId="0" borderId="0" xfId="0" applyNumberFormat="1" applyFont="1" applyAlignment="1">
      <alignment vertical="center" wrapText="1"/>
    </xf>
    <xf numFmtId="0" fontId="6" fillId="0" borderId="0" xfId="0" applyNumberFormat="1" applyFont="1" applyAlignment="1">
      <alignment horizontal="left" vertical="center" wrapText="1"/>
    </xf>
    <xf numFmtId="0" fontId="41" fillId="0" borderId="0" xfId="0" applyNumberFormat="1" applyFont="1" applyAlignment="1">
      <alignment vertical="center" wrapText="1"/>
    </xf>
    <xf numFmtId="0" fontId="43" fillId="0" borderId="0" xfId="0" applyNumberFormat="1" applyFont="1" applyAlignment="1">
      <alignment vertical="center" wrapText="1"/>
    </xf>
    <xf numFmtId="0" fontId="71" fillId="0" borderId="0" xfId="0" applyNumberFormat="1" applyFont="1" applyAlignment="1">
      <alignment vertical="center" wrapText="1"/>
    </xf>
    <xf numFmtId="0" fontId="31" fillId="0" borderId="0" xfId="0" applyNumberFormat="1" applyFont="1" applyAlignment="1">
      <alignment vertical="center" wrapText="1"/>
    </xf>
    <xf numFmtId="0" fontId="47" fillId="0" borderId="0" xfId="0" applyNumberFormat="1" applyFont="1" applyAlignment="1">
      <alignment vertical="center" wrapText="1"/>
    </xf>
    <xf numFmtId="49" fontId="6" fillId="0" borderId="3" xfId="0" applyNumberFormat="1" applyFont="1" applyBorder="1" applyAlignment="1">
      <alignment horizontal="center" vertical="center" wrapText="1"/>
    </xf>
    <xf numFmtId="0" fontId="20" fillId="8" borderId="3" xfId="0" applyNumberFormat="1" applyFont="1" applyFill="1" applyBorder="1" applyAlignment="1">
      <alignment horizontal="center" vertical="center" wrapText="1"/>
    </xf>
    <xf numFmtId="0" fontId="6" fillId="0" borderId="0" xfId="0" applyNumberFormat="1" applyFont="1" applyAlignment="1">
      <alignment vertical="center" wrapText="1"/>
    </xf>
    <xf numFmtId="0" fontId="20" fillId="8" borderId="0" xfId="0" applyNumberFormat="1" applyFont="1" applyFill="1" applyAlignment="1">
      <alignment horizontal="center" vertical="center" wrapText="1"/>
    </xf>
    <xf numFmtId="49" fontId="6" fillId="0" borderId="3" xfId="0" applyNumberFormat="1" applyFont="1" applyBorder="1" applyAlignment="1">
      <alignment horizontal="center" vertical="center" wrapText="1"/>
    </xf>
    <xf numFmtId="3" fontId="6" fillId="12" borderId="3" xfId="0" applyNumberFormat="1" applyFont="1" applyFill="1" applyBorder="1" applyAlignment="1" applyProtection="1">
      <alignment horizontal="right" vertical="center" wrapText="1"/>
      <protection locked="0"/>
    </xf>
    <xf numFmtId="0" fontId="31" fillId="0" borderId="0" xfId="0" applyNumberFormat="1" applyFont="1" applyAlignment="1">
      <alignment vertical="center" wrapText="1"/>
    </xf>
    <xf numFmtId="49" fontId="6" fillId="12" borderId="3" xfId="0" applyNumberFormat="1" applyFont="1" applyFill="1" applyBorder="1" applyAlignment="1" applyProtection="1">
      <alignment horizontal="left" vertical="center" wrapText="1"/>
      <protection locked="0"/>
    </xf>
    <xf numFmtId="0" fontId="31" fillId="0" borderId="0" xfId="0" applyNumberFormat="1" applyFont="1" applyAlignment="1">
      <alignment vertical="center"/>
    </xf>
    <xf numFmtId="0" fontId="20" fillId="8" borderId="3" xfId="0" applyNumberFormat="1" applyFont="1" applyFill="1" applyBorder="1" applyAlignment="1">
      <alignment horizontal="center" vertical="center" wrapText="1"/>
    </xf>
    <xf numFmtId="0" fontId="30" fillId="0" borderId="13" xfId="0" applyNumberFormat="1" applyFont="1" applyBorder="1" applyAlignment="1">
      <alignment vertical="center"/>
    </xf>
    <xf numFmtId="0" fontId="30" fillId="0" borderId="13" xfId="0" applyNumberFormat="1" applyFont="1" applyBorder="1" applyAlignment="1">
      <alignment vertical="center"/>
    </xf>
    <xf numFmtId="0" fontId="6" fillId="0" borderId="8" xfId="0" applyNumberFormat="1" applyFont="1" applyBorder="1" applyAlignment="1">
      <alignment horizontal="left" vertical="center" wrapText="1" indent="1"/>
    </xf>
    <xf numFmtId="49" fontId="6" fillId="0" borderId="48" xfId="0" applyNumberFormat="1" applyFont="1" applyBorder="1" applyAlignment="1">
      <alignment horizontal="center" vertical="center" wrapText="1"/>
    </xf>
    <xf numFmtId="49" fontId="6" fillId="0" borderId="19" xfId="0" applyNumberFormat="1" applyFont="1" applyBorder="1" applyAlignment="1">
      <alignment horizontal="center" vertical="center" wrapText="1"/>
    </xf>
    <xf numFmtId="0" fontId="6" fillId="0" borderId="0" xfId="0" applyNumberFormat="1" applyFont="1" applyAlignment="1">
      <alignment vertical="center" wrapText="1"/>
    </xf>
    <xf numFmtId="0" fontId="15" fillId="0" borderId="0" xfId="0" applyNumberFormat="1" applyFont="1" applyAlignment="1">
      <alignment vertical="center" wrapText="1"/>
    </xf>
    <xf numFmtId="0" fontId="20" fillId="0" borderId="0" xfId="0" applyNumberFormat="1" applyFont="1" applyAlignment="1">
      <alignment horizontal="center" vertical="center" wrapText="1"/>
    </xf>
    <xf numFmtId="0" fontId="6" fillId="0" borderId="3" xfId="0" applyNumberFormat="1" applyFont="1" applyBorder="1" applyAlignment="1">
      <alignment horizontal="center" vertical="center" wrapText="1"/>
    </xf>
    <xf numFmtId="0" fontId="6" fillId="0" borderId="0" xfId="0" applyNumberFormat="1" applyFont="1" applyAlignment="1">
      <alignment vertical="center" wrapText="1"/>
    </xf>
    <xf numFmtId="0" fontId="31" fillId="0" borderId="0" xfId="0" applyNumberFormat="1" applyFont="1" applyAlignment="1">
      <alignment vertical="center" wrapText="1"/>
    </xf>
    <xf numFmtId="0" fontId="6" fillId="0" borderId="3"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3" xfId="0" applyNumberFormat="1" applyFont="1" applyBorder="1" applyAlignment="1">
      <alignment horizontal="center" vertical="center" wrapText="1"/>
    </xf>
    <xf numFmtId="0" fontId="37" fillId="0" borderId="0" xfId="0" applyNumberFormat="1" applyFont="1" applyAlignment="1">
      <alignment vertical="center"/>
    </xf>
    <xf numFmtId="0" fontId="55" fillId="0" borderId="0" xfId="0" applyNumberFormat="1" applyFont="1" applyAlignment="1">
      <alignment vertical="center" wrapText="1"/>
    </xf>
    <xf numFmtId="0" fontId="31" fillId="0" borderId="0" xfId="0" applyNumberFormat="1" applyFont="1" applyAlignment="1">
      <alignment vertical="center" wrapText="1"/>
    </xf>
    <xf numFmtId="0" fontId="6" fillId="0" borderId="4" xfId="0" applyNumberFormat="1" applyFont="1" applyBorder="1" applyAlignment="1">
      <alignment horizontal="center" vertical="center" wrapText="1"/>
    </xf>
    <xf numFmtId="0" fontId="6" fillId="0" borderId="8" xfId="0" applyNumberFormat="1" applyFont="1" applyBorder="1" applyAlignment="1">
      <alignment horizontal="center" vertical="center" wrapText="1"/>
    </xf>
    <xf numFmtId="0" fontId="6" fillId="0" borderId="6" xfId="0" applyNumberFormat="1" applyFont="1" applyBorder="1" applyAlignment="1">
      <alignment horizontal="right" vertical="center" wrapText="1" indent="1"/>
    </xf>
    <xf numFmtId="0" fontId="6" fillId="0" borderId="3" xfId="0" applyNumberFormat="1" applyFont="1" applyBorder="1" applyAlignment="1">
      <alignment horizontal="center" vertical="center" wrapText="1"/>
    </xf>
    <xf numFmtId="0" fontId="6" fillId="0" borderId="0" xfId="0" applyNumberFormat="1" applyFont="1" applyAlignment="1">
      <alignment horizontal="left" vertical="top" wrapText="1"/>
    </xf>
    <xf numFmtId="0" fontId="6" fillId="0" borderId="3" xfId="0" applyNumberFormat="1" applyFont="1" applyBorder="1" applyAlignment="1">
      <alignment horizontal="center" vertical="center" wrapText="1"/>
    </xf>
    <xf numFmtId="49" fontId="6" fillId="13" borderId="3" xfId="0" applyNumberFormat="1" applyFont="1" applyFill="1" applyBorder="1" applyAlignment="1">
      <alignment horizontal="left" vertical="center" wrapText="1"/>
    </xf>
    <xf numFmtId="0" fontId="6" fillId="0" borderId="3" xfId="0" applyNumberFormat="1" applyFont="1" applyBorder="1" applyAlignment="1">
      <alignment horizontal="left" vertical="center" wrapText="1" indent="2"/>
    </xf>
    <xf numFmtId="0" fontId="31" fillId="0" borderId="8" xfId="0" applyNumberFormat="1" applyFont="1" applyBorder="1" applyAlignment="1">
      <alignment horizontal="center" vertical="center" wrapText="1"/>
    </xf>
    <xf numFmtId="0" fontId="6" fillId="7" borderId="5" xfId="0" applyNumberFormat="1" applyFont="1" applyFill="1" applyBorder="1" applyAlignment="1">
      <alignment horizontal="left" vertical="top" wrapText="1"/>
    </xf>
    <xf numFmtId="0" fontId="6" fillId="0" borderId="3"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0" fontId="6" fillId="0" borderId="8" xfId="0" applyNumberFormat="1" applyFont="1" applyBorder="1" applyAlignment="1">
      <alignment horizontal="center" vertical="center" wrapText="1"/>
    </xf>
    <xf numFmtId="0" fontId="6" fillId="0" borderId="6" xfId="0" applyNumberFormat="1" applyFont="1" applyBorder="1" applyAlignment="1">
      <alignment horizontal="right" vertical="center" wrapText="1" indent="1"/>
    </xf>
    <xf numFmtId="0" fontId="6" fillId="0" borderId="3" xfId="0" applyNumberFormat="1" applyFont="1" applyBorder="1" applyAlignment="1">
      <alignment horizontal="center" vertical="center" wrapText="1"/>
    </xf>
    <xf numFmtId="0" fontId="6" fillId="0" borderId="3" xfId="0" applyNumberFormat="1" applyFont="1" applyBorder="1" applyAlignment="1">
      <alignment horizontal="center" vertical="center" wrapText="1"/>
    </xf>
    <xf numFmtId="0" fontId="6" fillId="7" borderId="5" xfId="0" applyNumberFormat="1" applyFont="1" applyFill="1" applyBorder="1" applyAlignment="1">
      <alignment horizontal="left" vertical="top" wrapText="1"/>
    </xf>
    <xf numFmtId="0" fontId="6"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1" fillId="0" borderId="5" xfId="0" applyNumberFormat="1" applyFont="1" applyBorder="1" applyAlignment="1">
      <alignment vertical="center" wrapText="1"/>
    </xf>
    <xf numFmtId="0" fontId="31" fillId="0" borderId="5" xfId="0" applyNumberFormat="1" applyFont="1" applyBorder="1" applyAlignment="1">
      <alignment horizontal="left" vertical="top" wrapText="1"/>
    </xf>
    <xf numFmtId="49" fontId="6" fillId="0" borderId="49" xfId="0" applyNumberFormat="1" applyFont="1" applyBorder="1" applyAlignment="1">
      <alignment horizontal="center" vertical="center" wrapText="1"/>
    </xf>
    <xf numFmtId="0" fontId="6" fillId="0" borderId="8" xfId="0" applyNumberFormat="1" applyFont="1" applyBorder="1" applyAlignment="1">
      <alignment horizontal="left" vertical="center" wrapText="1"/>
    </xf>
    <xf numFmtId="49" fontId="23"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6"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6"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6" fillId="13" borderId="3" xfId="0" applyNumberFormat="1" applyFont="1" applyFill="1" applyBorder="1" applyAlignment="1">
      <alignment horizontal="left" vertical="center" wrapText="1"/>
    </xf>
    <xf numFmtId="49" fontId="6" fillId="0" borderId="50" xfId="0" applyNumberFormat="1" applyFont="1" applyBorder="1" applyAlignment="1">
      <alignment horizontal="center" vertical="center" wrapText="1"/>
    </xf>
    <xf numFmtId="4" fontId="6" fillId="12" borderId="8" xfId="0" applyNumberFormat="1" applyFont="1" applyFill="1" applyBorder="1" applyAlignment="1" applyProtection="1">
      <alignment horizontal="right" vertical="center" wrapText="1"/>
      <protection locked="0"/>
    </xf>
    <xf numFmtId="49" fontId="23" fillId="0" borderId="10" xfId="0" applyNumberFormat="1" applyFont="1" applyBorder="1" applyAlignment="1">
      <alignment horizontal="left" vertical="center"/>
    </xf>
    <xf numFmtId="49" fontId="23" fillId="0" borderId="10" xfId="0" applyNumberFormat="1" applyFont="1" applyBorder="1" applyAlignment="1">
      <alignment horizontal="left" vertical="center" indent="2"/>
    </xf>
    <xf numFmtId="49" fontId="27" fillId="0" borderId="10" xfId="0" applyNumberFormat="1" applyFont="1" applyBorder="1" applyAlignment="1">
      <alignment horizontal="center" vertical="top"/>
    </xf>
    <xf numFmtId="0" fontId="6" fillId="0" borderId="10" xfId="0" applyNumberFormat="1" applyFont="1" applyBorder="1" applyAlignment="1">
      <alignment horizontal="left" vertical="top" wrapText="1"/>
    </xf>
    <xf numFmtId="0" fontId="6"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30" fillId="0" borderId="0" xfId="0" applyNumberFormat="1" applyFont="1">
      <alignment vertical="top"/>
    </xf>
    <xf numFmtId="49" fontId="6" fillId="13" borderId="3" xfId="0" applyNumberFormat="1" applyFont="1" applyFill="1" applyBorder="1" applyAlignment="1">
      <alignment horizontal="left" vertical="center" wrapText="1"/>
    </xf>
    <xf numFmtId="49" fontId="6" fillId="13" borderId="5" xfId="0" applyNumberFormat="1" applyFont="1" applyFill="1" applyBorder="1" applyAlignment="1">
      <alignment horizontal="left" vertical="center" wrapText="1"/>
    </xf>
    <xf numFmtId="0" fontId="6" fillId="8" borderId="0" xfId="0" applyNumberFormat="1" applyFont="1" applyFill="1" applyAlignment="1"/>
    <xf numFmtId="0" fontId="6" fillId="0" borderId="0" xfId="0" applyNumberFormat="1" applyFont="1" applyAlignment="1">
      <alignment vertical="top" wrapText="1"/>
    </xf>
    <xf numFmtId="0" fontId="20"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5"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7"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8" fillId="0" borderId="0" xfId="0" applyNumberFormat="1" applyFont="1" applyAlignment="1">
      <alignment wrapText="1"/>
    </xf>
    <xf numFmtId="49" fontId="49" fillId="0" borderId="0" xfId="0" applyNumberFormat="1" applyFont="1" applyAlignment="1">
      <alignment wrapText="1"/>
    </xf>
    <xf numFmtId="49" fontId="49" fillId="0" borderId="0" xfId="0" applyNumberFormat="1" applyFont="1" applyAlignment="1">
      <alignment vertical="center" wrapText="1"/>
    </xf>
    <xf numFmtId="49" fontId="99" fillId="0" borderId="0" xfId="0" applyNumberFormat="1" applyFont="1" applyAlignment="1">
      <alignment wrapText="1"/>
    </xf>
    <xf numFmtId="0" fontId="85" fillId="0" borderId="0" xfId="0" applyNumberFormat="1" applyFont="1" applyAlignment="1">
      <alignment horizontal="left" vertical="center" wrapText="1"/>
    </xf>
    <xf numFmtId="49" fontId="100" fillId="0" borderId="0" xfId="0" applyNumberFormat="1" applyFont="1" applyAlignment="1">
      <alignment wrapText="1"/>
    </xf>
    <xf numFmtId="0" fontId="29" fillId="0" borderId="0" xfId="0" applyNumberFormat="1" applyFont="1" applyAlignment="1">
      <alignment horizontal="left" vertical="top" wrapText="1"/>
    </xf>
    <xf numFmtId="49" fontId="6" fillId="0" borderId="0" xfId="0" applyNumberFormat="1" applyFont="1" applyAlignment="1">
      <alignment vertical="top" wrapText="1"/>
    </xf>
    <xf numFmtId="0" fontId="49" fillId="0" borderId="0" xfId="0" applyNumberFormat="1" applyFont="1" applyAlignment="1">
      <alignment wrapText="1"/>
    </xf>
    <xf numFmtId="0" fontId="101" fillId="0" borderId="0" xfId="0" applyNumberFormat="1" applyFont="1" applyAlignment="1">
      <alignment horizontal="left" vertical="center" wrapText="1"/>
    </xf>
    <xf numFmtId="0" fontId="102" fillId="0" borderId="0" xfId="0" applyNumberFormat="1" applyFont="1" applyAlignment="1">
      <alignment vertical="center" wrapText="1"/>
    </xf>
    <xf numFmtId="0" fontId="49" fillId="0" borderId="29" xfId="0" applyNumberFormat="1" applyFont="1" applyBorder="1" applyAlignment="1">
      <alignment wrapText="1"/>
    </xf>
    <xf numFmtId="0" fontId="49" fillId="0" borderId="0" xfId="0" applyNumberFormat="1" applyFont="1" applyAlignment="1"/>
    <xf numFmtId="0" fontId="101" fillId="0" borderId="0" xfId="0" applyNumberFormat="1" applyFont="1" applyAlignment="1"/>
    <xf numFmtId="0" fontId="103"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1" fillId="0" borderId="29" xfId="0" applyNumberFormat="1" applyFont="1" applyBorder="1" applyAlignment="1">
      <alignment horizontal="left" vertical="center" wrapText="1"/>
    </xf>
    <xf numFmtId="0" fontId="101" fillId="0" borderId="52" xfId="0" applyNumberFormat="1" applyFont="1" applyBorder="1" applyAlignment="1">
      <alignment horizontal="left" vertical="center" wrapText="1"/>
    </xf>
    <xf numFmtId="0" fontId="103" fillId="0" borderId="0" xfId="0" applyNumberFormat="1" applyFont="1" applyAlignment="1"/>
    <xf numFmtId="0" fontId="103" fillId="0" borderId="29" xfId="0" applyNumberFormat="1" applyFont="1" applyBorder="1" applyAlignment="1">
      <alignment wrapText="1"/>
    </xf>
    <xf numFmtId="0" fontId="49" fillId="0" borderId="53" xfId="0" applyNumberFormat="1" applyFont="1" applyBorder="1" applyAlignment="1">
      <alignment wrapText="1"/>
    </xf>
    <xf numFmtId="0" fontId="49" fillId="0" borderId="30" xfId="0" applyNumberFormat="1" applyFont="1" applyBorder="1" applyAlignment="1">
      <alignment wrapText="1"/>
    </xf>
    <xf numFmtId="0" fontId="49" fillId="0" borderId="30" xfId="0" applyNumberFormat="1" applyFont="1" applyBorder="1" applyAlignment="1">
      <alignment vertical="center" wrapText="1"/>
    </xf>
    <xf numFmtId="0" fontId="99" fillId="0" borderId="0" xfId="0" applyNumberFormat="1" applyFont="1" applyAlignment="1"/>
    <xf numFmtId="0" fontId="19" fillId="0" borderId="15"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49" fontId="104" fillId="0" borderId="0" xfId="0" applyNumberFormat="1" applyFont="1" applyAlignment="1">
      <alignment horizontal="center" vertical="center" wrapText="1"/>
    </xf>
    <xf numFmtId="49" fontId="6"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1" fillId="0" borderId="0" xfId="0" applyNumberFormat="1" applyFont="1" applyAlignment="1">
      <alignment horizontal="center" vertical="center" wrapText="1"/>
    </xf>
    <xf numFmtId="167" fontId="31"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6" fillId="0" borderId="0" xfId="0" applyNumberFormat="1" applyFont="1" applyAlignment="1">
      <alignment horizontal="left" vertical="top" indent="1"/>
    </xf>
    <xf numFmtId="0" fontId="6"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6" fillId="7" borderId="21" xfId="0" applyNumberFormat="1" applyFont="1" applyFill="1" applyBorder="1" applyAlignment="1">
      <alignment horizontal="left" vertical="top"/>
    </xf>
    <xf numFmtId="0" fontId="6" fillId="0" borderId="3" xfId="0" applyNumberFormat="1" applyFont="1" applyBorder="1" applyAlignment="1">
      <alignment horizontal="left" vertical="top"/>
    </xf>
    <xf numFmtId="49" fontId="6"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6"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6" fillId="13" borderId="27" xfId="0" applyNumberFormat="1" applyFont="1" applyFill="1" applyBorder="1" applyAlignment="1">
      <alignment horizontal="left" vertical="top" wrapText="1"/>
    </xf>
    <xf numFmtId="49" fontId="6"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6" fillId="7" borderId="27" xfId="0" applyNumberFormat="1" applyFont="1" applyFill="1" applyBorder="1" applyAlignment="1">
      <alignment horizontal="center" vertical="top" wrapText="1"/>
    </xf>
    <xf numFmtId="0" fontId="6" fillId="9" borderId="27" xfId="0" applyNumberFormat="1" applyFont="1" applyFill="1" applyBorder="1" applyAlignment="1" applyProtection="1">
      <alignment horizontal="left" vertical="top" wrapText="1"/>
      <protection locked="0"/>
    </xf>
    <xf numFmtId="0" fontId="23" fillId="0" borderId="27" xfId="0" applyNumberFormat="1" applyFont="1" applyBorder="1" applyAlignment="1">
      <alignment horizontal="left" vertical="center"/>
    </xf>
    <xf numFmtId="0" fontId="23" fillId="9" borderId="27" xfId="0" applyNumberFormat="1" applyFont="1" applyFill="1" applyBorder="1" applyAlignment="1" applyProtection="1">
      <alignment horizontal="left" vertical="center"/>
      <protection locked="0"/>
    </xf>
    <xf numFmtId="0" fontId="23" fillId="12" borderId="27" xfId="0" applyNumberFormat="1" applyFont="1" applyFill="1" applyBorder="1" applyAlignment="1" applyProtection="1">
      <alignment horizontal="left" vertical="center"/>
      <protection locked="0"/>
    </xf>
    <xf numFmtId="14" fontId="6" fillId="13" borderId="27" xfId="0" applyNumberFormat="1" applyFont="1" applyFill="1" applyBorder="1" applyAlignment="1">
      <alignment horizontal="left" vertical="center" wrapText="1" indent="1"/>
    </xf>
    <xf numFmtId="49" fontId="6" fillId="13" borderId="0" xfId="0" applyNumberFormat="1" applyFont="1" applyFill="1" applyAlignment="1">
      <alignment horizontal="center" vertical="center" wrapText="1"/>
    </xf>
    <xf numFmtId="0" fontId="6"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30" fillId="0" borderId="3" xfId="0" applyNumberFormat="1" applyFont="1" applyBorder="1" applyAlignment="1">
      <alignment vertical="top" wrapText="1"/>
    </xf>
    <xf numFmtId="49" fontId="6" fillId="13" borderId="8" xfId="0" applyNumberFormat="1" applyFont="1" applyFill="1" applyBorder="1" applyAlignment="1">
      <alignment vertical="center" wrapText="1"/>
    </xf>
    <xf numFmtId="49" fontId="6" fillId="13" borderId="27" xfId="0" applyNumberFormat="1" applyFont="1" applyFill="1" applyBorder="1" applyAlignment="1">
      <alignment vertical="center" wrapText="1"/>
    </xf>
    <xf numFmtId="49" fontId="6"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6"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6"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6" fillId="8" borderId="17" xfId="0" applyNumberFormat="1" applyFont="1" applyFill="1" applyBorder="1" applyAlignment="1">
      <alignment horizontal="right" vertical="center" wrapText="1" indent="1"/>
    </xf>
    <xf numFmtId="49" fontId="30"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6" fillId="0" borderId="0" xfId="0" applyNumberFormat="1" applyFont="1" applyAlignment="1">
      <alignment vertical="top" wrapText="1"/>
    </xf>
    <xf numFmtId="49" fontId="6" fillId="0" borderId="0" xfId="0" applyNumberFormat="1" applyFont="1">
      <alignment vertical="top"/>
    </xf>
    <xf numFmtId="49" fontId="6" fillId="0" borderId="0" xfId="0" applyNumberFormat="1" applyFont="1">
      <alignment vertical="top"/>
    </xf>
    <xf numFmtId="49" fontId="6" fillId="0" borderId="3" xfId="0" applyNumberFormat="1" applyFont="1" applyBorder="1" applyAlignment="1">
      <alignment horizontal="center" vertical="center" wrapText="1"/>
    </xf>
    <xf numFmtId="49" fontId="6" fillId="0" borderId="10" xfId="0" applyNumberFormat="1" applyFont="1" applyBorder="1" applyAlignment="1">
      <alignment horizontal="center" vertical="center" wrapText="1"/>
    </xf>
    <xf numFmtId="0" fontId="6" fillId="13" borderId="27" xfId="0" applyNumberFormat="1" applyFont="1" applyFill="1" applyBorder="1" applyAlignment="1">
      <alignment horizontal="center" vertical="top" wrapText="1"/>
    </xf>
    <xf numFmtId="49" fontId="6" fillId="0" borderId="10" xfId="0" applyNumberFormat="1" applyFont="1" applyBorder="1" applyAlignment="1">
      <alignment horizontal="left" vertical="center" wrapText="1"/>
    </xf>
    <xf numFmtId="49" fontId="6" fillId="0" borderId="0" xfId="0" applyNumberFormat="1" applyFont="1" applyAlignment="1">
      <alignment horizontal="center" vertical="center" wrapText="1"/>
    </xf>
    <xf numFmtId="49" fontId="6" fillId="13" borderId="27" xfId="0" applyNumberFormat="1" applyFont="1" applyFill="1" applyBorder="1" applyAlignment="1">
      <alignment horizontal="center" vertical="center" wrapText="1"/>
    </xf>
    <xf numFmtId="0" fontId="23" fillId="0" borderId="0" xfId="0" applyNumberFormat="1" applyFont="1" applyAlignment="1">
      <alignment horizontal="left" vertical="center"/>
    </xf>
    <xf numFmtId="49" fontId="6" fillId="0" borderId="10"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6" fillId="8" borderId="0" xfId="0" applyNumberFormat="1" applyFont="1" applyFill="1" applyAlignment="1">
      <alignment horizontal="center" vertical="center" wrapText="1"/>
    </xf>
    <xf numFmtId="0" fontId="6" fillId="0" borderId="3" xfId="0" applyNumberFormat="1" applyFont="1" applyBorder="1" applyAlignment="1">
      <alignment horizontal="center" vertical="center" wrapText="1"/>
    </xf>
    <xf numFmtId="0" fontId="31"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horizontal="center" vertical="top"/>
    </xf>
    <xf numFmtId="49" fontId="6" fillId="0" borderId="27" xfId="0" applyNumberFormat="1" applyFont="1" applyBorder="1" applyAlignment="1">
      <alignment horizontal="center" vertical="top" wrapText="1"/>
    </xf>
    <xf numFmtId="0" fontId="6" fillId="0" borderId="3" xfId="0" applyNumberFormat="1" applyFont="1" applyBorder="1" applyAlignment="1">
      <alignment horizontal="left" vertical="center" wrapText="1"/>
    </xf>
    <xf numFmtId="0" fontId="19" fillId="0" borderId="3" xfId="0" applyNumberFormat="1" applyFont="1" applyBorder="1" applyAlignment="1">
      <alignment horizontal="center" vertical="center" wrapText="1"/>
    </xf>
    <xf numFmtId="49" fontId="23" fillId="10" borderId="42" xfId="0" applyNumberFormat="1" applyFont="1" applyFill="1" applyBorder="1" applyAlignment="1">
      <alignment horizontal="left" vertical="center" indent="1"/>
    </xf>
    <xf numFmtId="49" fontId="6" fillId="9" borderId="3" xfId="0" applyNumberFormat="1" applyFont="1" applyFill="1" applyBorder="1" applyAlignment="1" applyProtection="1">
      <alignment horizontal="left" vertical="center" wrapText="1"/>
      <protection locked="0"/>
    </xf>
    <xf numFmtId="49" fontId="31"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6"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6" fillId="0" borderId="27" xfId="0" applyNumberFormat="1" applyFont="1" applyBorder="1" applyAlignment="1">
      <alignment horizontal="center" vertical="center" wrapText="1"/>
    </xf>
    <xf numFmtId="0" fontId="6"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6" fillId="0" borderId="3" xfId="0" applyNumberFormat="1" applyFont="1" applyBorder="1" applyAlignment="1">
      <alignment horizontal="center" vertical="center" wrapText="1"/>
    </xf>
    <xf numFmtId="49" fontId="6" fillId="13" borderId="5" xfId="0" applyNumberFormat="1" applyFont="1" applyFill="1" applyBorder="1" applyAlignment="1">
      <alignment horizontal="left" vertical="center" wrapText="1"/>
    </xf>
    <xf numFmtId="0" fontId="6" fillId="0" borderId="14" xfId="0" applyNumberFormat="1" applyFont="1" applyBorder="1" applyAlignment="1">
      <alignment horizontal="center" vertical="center" wrapText="1"/>
    </xf>
    <xf numFmtId="0" fontId="28" fillId="0" borderId="4" xfId="0" applyNumberFormat="1" applyFont="1" applyBorder="1" applyAlignment="1">
      <alignment horizontal="center" vertical="center"/>
    </xf>
    <xf numFmtId="49" fontId="0" fillId="11" borderId="0" xfId="0" applyNumberFormat="1" applyFont="1" applyFill="1">
      <alignment vertical="top"/>
    </xf>
    <xf numFmtId="0" fontId="20" fillId="8" borderId="0" xfId="0" applyNumberFormat="1" applyFont="1" applyFill="1" applyAlignment="1">
      <alignment horizontal="center" vertical="center" wrapText="1"/>
    </xf>
    <xf numFmtId="0" fontId="20" fillId="8" borderId="0" xfId="0" applyNumberFormat="1" applyFont="1" applyFill="1" applyAlignment="1">
      <alignment horizontal="center"/>
    </xf>
    <xf numFmtId="0" fontId="20"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6" fillId="0" borderId="0" xfId="0" applyNumberFormat="1" applyFont="1">
      <alignment vertical="top"/>
    </xf>
    <xf numFmtId="0" fontId="20" fillId="8" borderId="0" xfId="0" applyNumberFormat="1" applyFont="1" applyFill="1" applyAlignment="1">
      <alignment vertical="top" wrapText="1"/>
    </xf>
    <xf numFmtId="49" fontId="105" fillId="12" borderId="3" xfId="0" applyNumberFormat="1" applyFont="1" applyFill="1" applyBorder="1" applyAlignment="1" applyProtection="1">
      <alignment horizontal="left" vertical="center" wrapText="1"/>
      <protection locked="0"/>
    </xf>
    <xf numFmtId="49" fontId="20" fillId="0" borderId="0" xfId="0" applyNumberFormat="1" applyFont="1" applyAlignment="1">
      <alignment horizontal="center" vertical="center" wrapText="1"/>
    </xf>
    <xf numFmtId="0" fontId="20" fillId="0" borderId="15" xfId="0" applyNumberFormat="1" applyFont="1" applyBorder="1" applyAlignment="1">
      <alignment horizontal="center" vertical="center" wrapText="1"/>
    </xf>
    <xf numFmtId="49" fontId="106"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6"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20" fillId="0" borderId="27" xfId="0" applyNumberFormat="1" applyFont="1" applyBorder="1" applyAlignment="1">
      <alignment vertical="center" wrapText="1"/>
    </xf>
    <xf numFmtId="49" fontId="20" fillId="0" borderId="27" xfId="0" applyNumberFormat="1" applyFont="1" applyBorder="1" applyAlignment="1">
      <alignment horizontal="center" vertical="center" wrapText="1"/>
    </xf>
    <xf numFmtId="49" fontId="20" fillId="0" borderId="10" xfId="0" applyNumberFormat="1" applyFont="1" applyBorder="1" applyAlignment="1">
      <alignment vertical="center" wrapText="1"/>
    </xf>
    <xf numFmtId="49" fontId="20" fillId="0" borderId="0" xfId="0" applyNumberFormat="1" applyFont="1" applyAlignment="1">
      <alignment vertical="center" wrapText="1"/>
    </xf>
    <xf numFmtId="49" fontId="20" fillId="0" borderId="0" xfId="0" applyNumberFormat="1" applyFont="1" applyAlignment="1">
      <alignment horizontal="center" vertical="center" wrapText="1"/>
    </xf>
    <xf numFmtId="0" fontId="6" fillId="8" borderId="14" xfId="0" applyNumberFormat="1" applyFont="1" applyFill="1" applyBorder="1" applyAlignment="1">
      <alignment horizontal="center" vertical="center" wrapText="1"/>
    </xf>
    <xf numFmtId="0" fontId="6"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6"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6"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8" fillId="27" borderId="0" xfId="0" applyNumberFormat="1" applyFont="1" applyFill="1" applyAlignment="1">
      <alignment vertical="center" wrapText="1"/>
    </xf>
    <xf numFmtId="0" fontId="30" fillId="0" borderId="0" xfId="0" applyNumberFormat="1" applyFont="1" applyAlignment="1">
      <alignment vertical="top" wrapText="1"/>
    </xf>
    <xf numFmtId="49" fontId="15" fillId="0" borderId="0" xfId="0" applyNumberFormat="1" applyFont="1" applyAlignment="1">
      <alignment horizontal="center" vertical="top" wrapText="1"/>
    </xf>
    <xf numFmtId="49" fontId="6" fillId="0" borderId="0" xfId="0" applyNumberFormat="1" applyFont="1" applyAlignment="1">
      <alignment horizontal="center" vertical="top" wrapText="1"/>
    </xf>
    <xf numFmtId="49" fontId="6"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0" fontId="6" fillId="0" borderId="3" xfId="0" applyNumberFormat="1" applyFont="1" applyBorder="1" applyAlignment="1">
      <alignment horizontal="center" vertical="center" wrapText="1"/>
    </xf>
    <xf numFmtId="0" fontId="6" fillId="0" borderId="8" xfId="0" applyNumberFormat="1" applyFont="1" applyBorder="1" applyAlignment="1">
      <alignment horizontal="center" vertical="center" wrapText="1"/>
    </xf>
    <xf numFmtId="0" fontId="6" fillId="0" borderId="3" xfId="0" applyNumberFormat="1" applyFont="1" applyBorder="1" applyAlignment="1">
      <alignment horizontal="left" vertical="center" wrapText="1"/>
    </xf>
    <xf numFmtId="0" fontId="6"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center" vertical="center" wrapText="1"/>
    </xf>
    <xf numFmtId="0" fontId="6" fillId="12" borderId="3" xfId="0" applyNumberFormat="1" applyFont="1" applyFill="1" applyBorder="1" applyAlignment="1" applyProtection="1">
      <alignment horizontal="center" vertical="center" wrapText="1"/>
      <protection locked="0"/>
    </xf>
    <xf numFmtId="49" fontId="6"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6" fillId="13" borderId="3" xfId="0" applyNumberFormat="1" applyFont="1" applyFill="1" applyBorder="1" applyAlignment="1">
      <alignment horizontal="left" vertical="center" wrapText="1" indent="1"/>
    </xf>
    <xf numFmtId="49" fontId="107" fillId="0" borderId="3" xfId="0" applyNumberFormat="1" applyFont="1" applyBorder="1" applyAlignment="1">
      <alignment horizontal="left" vertical="center" wrapText="1" indent="1"/>
    </xf>
    <xf numFmtId="0" fontId="6" fillId="0" borderId="5" xfId="0" applyNumberFormat="1" applyFont="1" applyBorder="1" applyAlignment="1">
      <alignment horizontal="center" vertical="center" wrapText="1"/>
    </xf>
    <xf numFmtId="49" fontId="6" fillId="0" borderId="3" xfId="0" applyNumberFormat="1" applyFont="1" applyBorder="1" applyAlignment="1">
      <alignment horizontal="center" vertical="center" wrapText="1"/>
    </xf>
    <xf numFmtId="0" fontId="6" fillId="0" borderId="14" xfId="0" applyNumberFormat="1" applyFont="1" applyBorder="1" applyAlignment="1">
      <alignment horizontal="left" vertical="center" wrapText="1" indent="1"/>
    </xf>
    <xf numFmtId="0" fontId="6" fillId="7" borderId="3" xfId="0" applyNumberFormat="1" applyFont="1" applyFill="1" applyBorder="1" applyAlignment="1">
      <alignment horizontal="left" vertical="center" wrapText="1" indent="1"/>
    </xf>
    <xf numFmtId="0" fontId="31" fillId="0" borderId="0" xfId="0" applyNumberFormat="1" applyFont="1" applyAlignment="1">
      <alignment horizontal="center" vertical="center" wrapText="1"/>
    </xf>
    <xf numFmtId="164" fontId="6" fillId="0" borderId="14" xfId="0" applyNumberFormat="1" applyFont="1" applyBorder="1" applyAlignment="1">
      <alignment horizontal="center" vertical="center" wrapText="1"/>
    </xf>
    <xf numFmtId="0" fontId="6" fillId="0" borderId="0" xfId="0" applyNumberFormat="1" applyFont="1" applyAlignment="1">
      <alignment horizontal="right" vertical="center" wrapText="1"/>
    </xf>
    <xf numFmtId="0" fontId="6" fillId="8" borderId="3" xfId="0" applyNumberFormat="1" applyFont="1" applyFill="1" applyBorder="1" applyAlignment="1">
      <alignment vertical="top" wrapText="1"/>
    </xf>
    <xf numFmtId="0" fontId="6" fillId="8" borderId="3" xfId="0" applyNumberFormat="1" applyFont="1" applyFill="1" applyBorder="1" applyAlignment="1">
      <alignment horizontal="left" vertical="top" wrapText="1"/>
    </xf>
    <xf numFmtId="49" fontId="36"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6"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6" fillId="0" borderId="0" xfId="0" applyNumberFormat="1" applyFont="1" applyAlignment="1">
      <alignment horizontal="left" vertical="top" wrapText="1"/>
    </xf>
    <xf numFmtId="14" fontId="6" fillId="0" borderId="14" xfId="0" applyNumberFormat="1" applyFont="1" applyBorder="1" applyAlignment="1">
      <alignment horizontal="left" vertical="center" wrapText="1" indent="1"/>
    </xf>
    <xf numFmtId="0" fontId="6" fillId="0" borderId="3" xfId="0" applyNumberFormat="1" applyFont="1" applyBorder="1" applyAlignment="1">
      <alignment horizontal="center" vertical="center" wrapText="1"/>
    </xf>
    <xf numFmtId="0" fontId="6" fillId="0" borderId="14" xfId="0" applyNumberFormat="1" applyFont="1" applyBorder="1" applyAlignment="1">
      <alignment horizontal="center" vertical="center" wrapText="1"/>
    </xf>
    <xf numFmtId="0" fontId="6" fillId="7" borderId="3" xfId="0" applyNumberFormat="1" applyFont="1" applyFill="1" applyBorder="1" applyAlignment="1">
      <alignment horizontal="left" vertical="center" wrapText="1" indent="1"/>
    </xf>
    <xf numFmtId="0" fontId="31" fillId="0" borderId="0" xfId="0" applyNumberFormat="1" applyFont="1" applyAlignment="1">
      <alignment horizontal="center" vertical="center" wrapText="1"/>
    </xf>
    <xf numFmtId="0" fontId="6" fillId="7" borderId="3" xfId="0" applyNumberFormat="1" applyFont="1" applyFill="1" applyBorder="1" applyAlignment="1">
      <alignment horizontal="left" vertical="center" wrapText="1"/>
    </xf>
    <xf numFmtId="164" fontId="6" fillId="0" borderId="3"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31" fillId="0" borderId="0" xfId="0" applyNumberFormat="1" applyFont="1" applyAlignment="1">
      <alignment horizontal="center" vertical="center" wrapText="1"/>
    </xf>
    <xf numFmtId="49" fontId="6" fillId="12" borderId="3" xfId="0" applyNumberFormat="1" applyFont="1" applyFill="1" applyBorder="1" applyAlignment="1" applyProtection="1">
      <alignment horizontal="left" vertical="center" wrapText="1"/>
      <protection locked="0"/>
    </xf>
    <xf numFmtId="0" fontId="6" fillId="8" borderId="27" xfId="0" applyNumberFormat="1" applyFont="1" applyFill="1" applyBorder="1" applyAlignment="1">
      <alignment vertical="center" wrapText="1"/>
    </xf>
    <xf numFmtId="164" fontId="28" fillId="0" borderId="10" xfId="0" applyNumberFormat="1" applyFont="1" applyBorder="1" applyAlignment="1">
      <alignment horizontal="center" vertical="center" wrapText="1"/>
    </xf>
    <xf numFmtId="164" fontId="28" fillId="0" borderId="11" xfId="0" applyNumberFormat="1" applyFont="1" applyBorder="1" applyAlignment="1">
      <alignment horizontal="center" vertical="center" wrapText="1"/>
    </xf>
    <xf numFmtId="168" fontId="6"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6" fillId="12" borderId="18" xfId="0" applyNumberFormat="1" applyFont="1" applyFill="1" applyBorder="1" applyAlignment="1" applyProtection="1">
      <alignment horizontal="left" vertical="center" wrapText="1"/>
      <protection locked="0"/>
    </xf>
    <xf numFmtId="49" fontId="6" fillId="12" borderId="21" xfId="0" applyNumberFormat="1" applyFont="1" applyFill="1" applyBorder="1" applyAlignment="1" applyProtection="1">
      <alignment horizontal="left" vertical="center" wrapText="1"/>
      <protection locked="0"/>
    </xf>
    <xf numFmtId="49" fontId="36" fillId="10" borderId="20" xfId="0" applyNumberFormat="1" applyFont="1" applyFill="1" applyBorder="1" applyAlignment="1">
      <alignment horizontal="left" vertical="center" wrapText="1"/>
    </xf>
    <xf numFmtId="0" fontId="6" fillId="12" borderId="3" xfId="0" applyNumberFormat="1" applyFont="1" applyFill="1" applyBorder="1" applyAlignment="1" applyProtection="1">
      <alignment horizontal="left" vertical="top" wrapText="1" indent="1"/>
      <protection locked="0"/>
    </xf>
    <xf numFmtId="0" fontId="6" fillId="0" borderId="6" xfId="0" applyNumberFormat="1" applyFont="1" applyBorder="1" applyAlignment="1">
      <alignment horizontal="center" vertical="center" wrapText="1"/>
    </xf>
    <xf numFmtId="0" fontId="31" fillId="0" borderId="0" xfId="0" applyNumberFormat="1" applyFont="1" applyAlignment="1">
      <alignment horizontal="center" vertical="center" wrapText="1"/>
    </xf>
    <xf numFmtId="0" fontId="6" fillId="8" borderId="13" xfId="0" applyNumberFormat="1" applyFont="1" applyFill="1" applyBorder="1" applyAlignment="1">
      <alignment vertical="center" wrapText="1"/>
    </xf>
    <xf numFmtId="0" fontId="19" fillId="0" borderId="0" xfId="13" applyNumberFormat="1" applyFont="1" applyAlignment="1">
      <alignment horizontal="center" vertical="center" wrapText="1"/>
    </xf>
    <xf numFmtId="0" fontId="19" fillId="0" borderId="3" xfId="13" applyNumberFormat="1" applyFont="1" applyBorder="1" applyAlignment="1">
      <alignment horizontal="center" vertical="center" wrapText="1"/>
    </xf>
    <xf numFmtId="0" fontId="6" fillId="0" borderId="3" xfId="0" applyNumberFormat="1" applyFont="1" applyBorder="1" applyAlignment="1">
      <alignment horizontal="left" vertical="top" wrapText="1"/>
    </xf>
    <xf numFmtId="49" fontId="6" fillId="0" borderId="10"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3" fillId="0" borderId="0" xfId="0" applyNumberFormat="1" applyFont="1" applyAlignment="1">
      <alignment horizontal="left" vertical="center"/>
    </xf>
    <xf numFmtId="0" fontId="23" fillId="0" borderId="15" xfId="0" applyNumberFormat="1" applyFont="1" applyBorder="1" applyAlignment="1">
      <alignment horizontal="left" vertical="center"/>
    </xf>
    <xf numFmtId="0" fontId="23" fillId="0" borderId="18" xfId="0" applyNumberFormat="1" applyFont="1" applyBorder="1" applyAlignment="1">
      <alignment horizontal="left" vertical="center"/>
    </xf>
    <xf numFmtId="0" fontId="23"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6" fillId="0" borderId="3" xfId="0" applyNumberFormat="1" applyFont="1" applyBorder="1" applyAlignment="1">
      <alignment horizontal="center" vertical="center" wrapText="1"/>
    </xf>
    <xf numFmtId="49" fontId="6" fillId="13" borderId="3" xfId="0" applyNumberFormat="1" applyFont="1" applyFill="1" applyBorder="1" applyAlignment="1">
      <alignment horizontal="center" vertical="center" wrapText="1"/>
    </xf>
    <xf numFmtId="49" fontId="6" fillId="0" borderId="10"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3" fillId="0" borderId="18" xfId="0" applyNumberFormat="1" applyFont="1" applyBorder="1" applyAlignment="1">
      <alignment horizontal="left" vertical="center"/>
    </xf>
    <xf numFmtId="0" fontId="23" fillId="0" borderId="20" xfId="0" applyNumberFormat="1" applyFont="1" applyBorder="1" applyAlignment="1">
      <alignment horizontal="left" vertical="center"/>
    </xf>
    <xf numFmtId="0" fontId="23" fillId="0" borderId="0" xfId="0" applyNumberFormat="1" applyFont="1" applyAlignment="1">
      <alignment horizontal="left" vertical="center"/>
    </xf>
    <xf numFmtId="0" fontId="23" fillId="0" borderId="15" xfId="0" applyNumberFormat="1" applyFont="1" applyBorder="1" applyAlignment="1">
      <alignment horizontal="left" vertical="center"/>
    </xf>
    <xf numFmtId="0" fontId="6"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 fillId="7" borderId="6" xfId="0" applyNumberFormat="1" applyFont="1" applyFill="1" applyBorder="1" applyAlignment="1">
      <alignment horizontal="left" vertical="center" wrapText="1"/>
    </xf>
    <xf numFmtId="0" fontId="6" fillId="0" borderId="0" xfId="0" applyNumberFormat="1" applyFont="1" applyAlignment="1">
      <alignment horizontal="left" vertical="top" wrapText="1"/>
    </xf>
    <xf numFmtId="0" fontId="31"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3" fillId="8" borderId="10" xfId="0" applyNumberFormat="1" applyFont="1" applyFill="1" applyBorder="1" applyAlignment="1">
      <alignment horizontal="center" vertical="center" wrapText="1"/>
    </xf>
    <xf numFmtId="0" fontId="20" fillId="0" borderId="18" xfId="0" applyNumberFormat="1" applyFont="1" applyBorder="1" applyAlignment="1">
      <alignment horizontal="center" vertical="center" wrapText="1"/>
    </xf>
    <xf numFmtId="0" fontId="6" fillId="8" borderId="3" xfId="0" applyNumberFormat="1" applyFont="1" applyFill="1" applyBorder="1" applyAlignment="1">
      <alignment horizontal="left" vertical="center" wrapText="1"/>
    </xf>
    <xf numFmtId="0" fontId="6" fillId="8" borderId="14" xfId="0" applyNumberFormat="1" applyFont="1" applyFill="1" applyBorder="1" applyAlignment="1">
      <alignment horizontal="center" vertical="center" wrapText="1"/>
    </xf>
    <xf numFmtId="0" fontId="31" fillId="0" borderId="6" xfId="0" applyNumberFormat="1" applyFont="1" applyBorder="1" applyAlignment="1">
      <alignment horizontal="left" vertical="center" wrapText="1"/>
    </xf>
    <xf numFmtId="49" fontId="6" fillId="12" borderId="8" xfId="0" applyNumberFormat="1" applyFont="1" applyFill="1" applyBorder="1" applyAlignment="1" applyProtection="1">
      <alignment horizontal="left" vertical="center" wrapText="1" indent="6"/>
      <protection locked="0"/>
    </xf>
    <xf numFmtId="0" fontId="6" fillId="8" borderId="8" xfId="0" applyNumberFormat="1" applyFont="1" applyFill="1" applyBorder="1" applyAlignment="1">
      <alignment horizontal="left" vertical="center" wrapText="1"/>
    </xf>
    <xf numFmtId="4" fontId="6" fillId="12" borderId="3" xfId="0" applyNumberFormat="1" applyFont="1" applyFill="1" applyBorder="1" applyAlignment="1" applyProtection="1">
      <alignment horizontal="left" vertical="center" wrapText="1" indent="1"/>
      <protection locked="0"/>
    </xf>
    <xf numFmtId="49" fontId="6" fillId="9" borderId="8" xfId="0" applyNumberFormat="1" applyFont="1" applyFill="1" applyBorder="1" applyAlignment="1" applyProtection="1">
      <alignment horizontal="left" vertical="center" wrapText="1" indent="6"/>
      <protection locked="0"/>
    </xf>
    <xf numFmtId="49" fontId="6" fillId="0" borderId="0" xfId="0" applyNumberFormat="1" applyFont="1" applyAlignment="1">
      <alignment vertical="center" wrapText="1"/>
    </xf>
    <xf numFmtId="49" fontId="31" fillId="0" borderId="3" xfId="0" applyNumberFormat="1" applyFont="1" applyBorder="1" applyAlignment="1">
      <alignment horizontal="center" vertical="center" wrapText="1"/>
    </xf>
    <xf numFmtId="49" fontId="6" fillId="0" borderId="3" xfId="0" applyNumberFormat="1" applyFont="1" applyBorder="1" applyAlignment="1">
      <alignment horizontal="left" vertical="center" wrapText="1"/>
    </xf>
    <xf numFmtId="0" fontId="6" fillId="8" borderId="2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6" fillId="0" borderId="0" xfId="0" applyNumberFormat="1" applyFont="1" applyAlignment="1">
      <alignment horizontal="left" vertical="center"/>
    </xf>
    <xf numFmtId="49" fontId="6" fillId="0" borderId="0" xfId="0" applyNumberFormat="1" applyFont="1" applyAlignment="1">
      <alignment horizontal="left" vertical="center"/>
    </xf>
    <xf numFmtId="0" fontId="6" fillId="0" borderId="0" xfId="0" applyNumberFormat="1" applyFont="1" applyAlignment="1">
      <alignment horizontal="left" vertical="center"/>
    </xf>
    <xf numFmtId="0" fontId="6" fillId="0" borderId="0" xfId="0" applyNumberFormat="1" applyFont="1" applyAlignment="1">
      <alignment horizontal="left" vertical="center" indent="1"/>
    </xf>
    <xf numFmtId="49" fontId="6"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6" fillId="8" borderId="0" xfId="0" applyNumberFormat="1" applyFont="1" applyFill="1" applyAlignment="1">
      <alignment vertical="center" wrapText="1"/>
    </xf>
    <xf numFmtId="0" fontId="63"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49" fontId="6" fillId="0" borderId="0" xfId="0" applyNumberFormat="1" applyFont="1" applyAlignment="1">
      <alignment vertical="center" wrapText="1"/>
    </xf>
    <xf numFmtId="49" fontId="6" fillId="9" borderId="3" xfId="0" applyNumberFormat="1" applyFont="1" applyFill="1" applyBorder="1" applyAlignment="1" applyProtection="1">
      <alignment horizontal="left" vertical="center" indent="1"/>
      <protection locked="0"/>
    </xf>
    <xf numFmtId="49" fontId="6" fillId="8" borderId="3" xfId="11" applyNumberFormat="1" applyFont="1" applyFill="1" applyBorder="1" applyAlignment="1">
      <alignment horizontal="center" vertical="center" wrapText="1"/>
    </xf>
    <xf numFmtId="14" fontId="6" fillId="12" borderId="5" xfId="0" applyNumberFormat="1" applyFont="1" applyFill="1" applyBorder="1" applyAlignment="1" applyProtection="1">
      <alignment horizontal="left" vertical="center" wrapText="1" indent="1"/>
      <protection locked="0"/>
    </xf>
    <xf numFmtId="0" fontId="30" fillId="0" borderId="27" xfId="0" applyNumberFormat="1" applyFont="1" applyBorder="1" applyAlignment="1">
      <alignment horizontal="left" vertical="center" wrapText="1" indent="1"/>
    </xf>
    <xf numFmtId="49" fontId="88" fillId="10" borderId="33" xfId="0" applyNumberFormat="1" applyFont="1" applyFill="1" applyBorder="1" applyAlignment="1">
      <alignment horizontal="left" vertical="center" indent="1"/>
    </xf>
    <xf numFmtId="14" fontId="6" fillId="13" borderId="13" xfId="0" applyNumberFormat="1" applyFont="1" applyFill="1" applyBorder="1" applyAlignment="1">
      <alignment horizontal="left" vertical="center" wrapText="1" indent="1"/>
    </xf>
    <xf numFmtId="0" fontId="6"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6" fillId="13" borderId="3" xfId="0" applyNumberFormat="1" applyFont="1" applyFill="1" applyBorder="1" applyAlignment="1">
      <alignment horizontal="center" vertical="center" wrapText="1"/>
    </xf>
    <xf numFmtId="0" fontId="6"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 fillId="8" borderId="8" xfId="0" applyNumberFormat="1" applyFont="1" applyFill="1" applyBorder="1" applyAlignment="1">
      <alignment horizontal="left" vertical="center" wrapText="1"/>
    </xf>
    <xf numFmtId="49" fontId="6" fillId="12" borderId="8" xfId="0" applyNumberFormat="1" applyFont="1" applyFill="1" applyBorder="1" applyAlignment="1" applyProtection="1">
      <alignment horizontal="left" vertical="center" wrapText="1" indent="6"/>
      <protection locked="0"/>
    </xf>
    <xf numFmtId="0" fontId="31" fillId="0" borderId="15" xfId="0" applyNumberFormat="1" applyFont="1" applyBorder="1" applyAlignment="1">
      <alignment horizontal="center" vertical="top" wrapText="1"/>
    </xf>
    <xf numFmtId="49" fontId="6" fillId="9" borderId="8" xfId="0" applyNumberFormat="1" applyFont="1" applyFill="1" applyBorder="1" applyAlignment="1" applyProtection="1">
      <alignment horizontal="left" vertical="center" wrapText="1" indent="6"/>
      <protection locked="0"/>
    </xf>
    <xf numFmtId="4" fontId="6" fillId="12" borderId="3" xfId="0" applyNumberFormat="1" applyFont="1" applyFill="1" applyBorder="1" applyAlignment="1" applyProtection="1">
      <alignment horizontal="left" vertical="center" wrapText="1" indent="1"/>
      <protection locked="0"/>
    </xf>
    <xf numFmtId="49" fontId="6" fillId="0" borderId="10"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3" fillId="0" borderId="18" xfId="0" applyNumberFormat="1" applyFont="1" applyBorder="1" applyAlignment="1">
      <alignment horizontal="left" vertical="center"/>
    </xf>
    <xf numFmtId="0" fontId="23" fillId="0" borderId="20" xfId="0" applyNumberFormat="1" applyFont="1" applyBorder="1" applyAlignment="1">
      <alignment horizontal="left" vertical="center"/>
    </xf>
    <xf numFmtId="0" fontId="23" fillId="0" borderId="0" xfId="0" applyNumberFormat="1" applyFont="1" applyAlignment="1">
      <alignment horizontal="left" vertical="center"/>
    </xf>
    <xf numFmtId="0" fontId="23" fillId="0" borderId="15" xfId="0" applyNumberFormat="1" applyFont="1" applyBorder="1" applyAlignment="1">
      <alignment horizontal="left" vertical="center"/>
    </xf>
    <xf numFmtId="49" fontId="15" fillId="20" borderId="0" xfId="0" applyNumberFormat="1" applyFont="1" applyFill="1" applyAlignment="1">
      <alignment horizontal="center" vertical="center" wrapText="1"/>
    </xf>
    <xf numFmtId="0" fontId="31" fillId="0" borderId="0" xfId="0" applyNumberFormat="1" applyFont="1" applyAlignment="1">
      <alignment horizontal="center" vertical="center" wrapText="1"/>
    </xf>
    <xf numFmtId="0" fontId="6" fillId="8" borderId="3" xfId="0" applyNumberFormat="1" applyFont="1" applyFill="1" applyBorder="1" applyAlignment="1">
      <alignment horizontal="left" vertical="center" wrapText="1"/>
    </xf>
    <xf numFmtId="0" fontId="6" fillId="8" borderId="8" xfId="0" applyNumberFormat="1" applyFont="1" applyFill="1" applyBorder="1" applyAlignment="1">
      <alignment horizontal="left" vertical="center" wrapText="1"/>
    </xf>
    <xf numFmtId="0" fontId="6" fillId="8" borderId="14" xfId="0" applyNumberFormat="1" applyFont="1" applyFill="1" applyBorder="1" applyAlignment="1">
      <alignment horizontal="left" vertical="center" wrapText="1"/>
    </xf>
    <xf numFmtId="0" fontId="28" fillId="0" borderId="4" xfId="0" applyNumberFormat="1" applyFont="1" applyBorder="1" applyAlignment="1">
      <alignment vertical="top" wrapText="1"/>
    </xf>
    <xf numFmtId="0" fontId="31" fillId="0" borderId="4" xfId="0" applyNumberFormat="1" applyFont="1" applyBorder="1" applyAlignment="1">
      <alignment vertical="top" wrapText="1"/>
    </xf>
    <xf numFmtId="0" fontId="6" fillId="8" borderId="8" xfId="0" applyNumberFormat="1" applyFont="1" applyFill="1" applyBorder="1" applyAlignment="1">
      <alignment horizontal="left" vertical="center" wrapText="1" indent="2"/>
    </xf>
    <xf numFmtId="0" fontId="6" fillId="0" borderId="8" xfId="0" applyNumberFormat="1" applyFont="1" applyBorder="1" applyAlignment="1">
      <alignment horizontal="left" vertical="center" wrapText="1" indent="6"/>
    </xf>
    <xf numFmtId="0" fontId="6" fillId="13" borderId="14" xfId="0" applyNumberFormat="1" applyFont="1" applyFill="1" applyBorder="1" applyAlignment="1">
      <alignment horizontal="left" vertical="center" wrapText="1" indent="6"/>
    </xf>
    <xf numFmtId="0" fontId="6" fillId="0" borderId="14" xfId="0" applyNumberFormat="1" applyFont="1" applyBorder="1" applyAlignment="1">
      <alignment horizontal="left" vertical="center" wrapText="1" indent="6"/>
    </xf>
    <xf numFmtId="4" fontId="6" fillId="9" borderId="14" xfId="0" applyNumberFormat="1" applyFont="1" applyFill="1" applyBorder="1" applyAlignment="1" applyProtection="1">
      <alignment horizontal="right" vertical="center" wrapText="1"/>
      <protection locked="0"/>
    </xf>
    <xf numFmtId="165" fontId="6" fillId="9" borderId="14" xfId="0" applyNumberFormat="1" applyFont="1" applyFill="1" applyBorder="1" applyAlignment="1" applyProtection="1">
      <alignment horizontal="right" vertical="center" wrapText="1"/>
      <protection locked="0"/>
    </xf>
    <xf numFmtId="0" fontId="6" fillId="0" borderId="6"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0" fontId="6" fillId="0" borderId="3"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3" xfId="0" applyNumberFormat="1" applyFont="1" applyBorder="1" applyAlignment="1">
      <alignment horizontal="left" vertical="center" wrapText="1"/>
    </xf>
    <xf numFmtId="0" fontId="6"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6"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6" fillId="0" borderId="6" xfId="0" applyNumberFormat="1" applyFont="1" applyBorder="1" applyAlignment="1">
      <alignment horizontal="right" vertical="center" wrapText="1" indent="1"/>
    </xf>
    <xf numFmtId="0" fontId="6" fillId="0" borderId="0" xfId="0" applyNumberFormat="1" applyFont="1" applyAlignment="1">
      <alignment horizontal="left" vertical="top" wrapText="1"/>
    </xf>
    <xf numFmtId="0" fontId="6" fillId="7" borderId="5" xfId="0" applyNumberFormat="1" applyFont="1" applyFill="1" applyBorder="1" applyAlignment="1">
      <alignment horizontal="left" vertical="top" wrapText="1"/>
    </xf>
    <xf numFmtId="49" fontId="6"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6" fillId="0" borderId="3" xfId="0" applyNumberFormat="1" applyFont="1" applyBorder="1" applyAlignment="1">
      <alignment horizontal="center" vertical="center" wrapText="1"/>
    </xf>
    <xf numFmtId="0" fontId="6" fillId="0" borderId="3" xfId="0" applyNumberFormat="1" applyFont="1" applyBorder="1" applyAlignment="1">
      <alignment horizontal="left" vertical="center" wrapText="1"/>
    </xf>
    <xf numFmtId="0" fontId="6" fillId="0" borderId="8" xfId="0" applyNumberFormat="1" applyFont="1" applyBorder="1" applyAlignment="1">
      <alignment horizontal="left" vertical="center" wrapText="1"/>
    </xf>
    <xf numFmtId="49" fontId="77" fillId="0" borderId="34" xfId="0" applyNumberFormat="1" applyFont="1" applyBorder="1" applyAlignment="1">
      <alignment horizontal="center" vertical="center"/>
    </xf>
    <xf numFmtId="49" fontId="77" fillId="0" borderId="34" xfId="0" applyNumberFormat="1" applyFont="1" applyBorder="1" applyAlignment="1">
      <alignment horizontal="left" vertical="center" indent="1"/>
    </xf>
    <xf numFmtId="49" fontId="77" fillId="0" borderId="5" xfId="0" applyNumberFormat="1" applyFont="1" applyBorder="1" applyAlignment="1">
      <alignment horizontal="left" vertical="center" indent="1"/>
    </xf>
    <xf numFmtId="49" fontId="77" fillId="0" borderId="6" xfId="0" applyNumberFormat="1" applyFont="1" applyBorder="1" applyAlignment="1">
      <alignment horizontal="left" vertical="center" indent="1"/>
    </xf>
    <xf numFmtId="49" fontId="77" fillId="0" borderId="6" xfId="0" applyNumberFormat="1" applyFont="1" applyBorder="1" applyAlignment="1">
      <alignment vertical="top" wrapText="1"/>
    </xf>
    <xf numFmtId="49" fontId="77" fillId="0" borderId="4" xfId="0" applyNumberFormat="1" applyFont="1" applyBorder="1" applyAlignment="1">
      <alignment vertical="top" wrapText="1"/>
    </xf>
    <xf numFmtId="49" fontId="108" fillId="0" borderId="0" xfId="0" applyNumberFormat="1" applyFont="1" applyAlignment="1">
      <alignment horizontal="center" vertical="top" wrapText="1"/>
    </xf>
    <xf numFmtId="0" fontId="77" fillId="0" borderId="3" xfId="0" applyNumberFormat="1" applyFont="1" applyBorder="1" applyAlignment="1">
      <alignment horizontal="center" vertical="center"/>
    </xf>
    <xf numFmtId="0" fontId="77" fillId="0" borderId="3" xfId="0" applyNumberFormat="1" applyFont="1" applyBorder="1" applyAlignment="1">
      <alignment horizontal="left" vertical="center" wrapText="1" indent="1"/>
    </xf>
    <xf numFmtId="4" fontId="30" fillId="0" borderId="22" xfId="0" applyNumberFormat="1" applyFont="1" applyBorder="1" applyAlignment="1">
      <alignment horizontal="right" vertical="center" wrapText="1"/>
    </xf>
    <xf numFmtId="49" fontId="30" fillId="0" borderId="6" xfId="0" applyNumberFormat="1" applyFont="1" applyBorder="1" applyAlignment="1">
      <alignment horizontal="left" vertical="center" indent="1"/>
    </xf>
    <xf numFmtId="49" fontId="77" fillId="0" borderId="43" xfId="0" applyNumberFormat="1" applyFont="1" applyBorder="1" applyAlignment="1">
      <alignment vertical="top" wrapText="1"/>
    </xf>
    <xf numFmtId="49" fontId="77"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6" fillId="0" borderId="3" xfId="0" applyNumberFormat="1" applyFont="1" applyBorder="1" applyAlignment="1">
      <alignment horizontal="center" vertical="center" wrapText="1"/>
    </xf>
    <xf numFmtId="49" fontId="109" fillId="0" borderId="3" xfId="0" applyNumberFormat="1" applyFont="1" applyBorder="1" applyAlignment="1">
      <alignment horizontal="center" vertical="center" wrapText="1"/>
    </xf>
    <xf numFmtId="49" fontId="109" fillId="0" borderId="8" xfId="0" applyNumberFormat="1" applyFont="1" applyBorder="1" applyAlignment="1">
      <alignment horizontal="center" vertical="center" wrapText="1"/>
    </xf>
    <xf numFmtId="0" fontId="6" fillId="27" borderId="3" xfId="12" applyNumberFormat="1" applyFont="1" applyFill="1" applyBorder="1" applyAlignment="1">
      <alignment vertical="center"/>
    </xf>
    <xf numFmtId="0" fontId="30" fillId="28" borderId="3" xfId="0" applyNumberFormat="1" applyFont="1" applyFill="1" applyBorder="1" applyAlignment="1">
      <alignment horizontal="left" vertical="center" wrapText="1"/>
    </xf>
    <xf numFmtId="0" fontId="74" fillId="0" borderId="0" xfId="0" applyNumberFormat="1" applyFont="1" applyAlignment="1">
      <alignment horizontal="center" vertical="center" wrapText="1"/>
    </xf>
    <xf numFmtId="49" fontId="6"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6"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9"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6" fillId="0" borderId="3" xfId="0" applyNumberFormat="1" applyFont="1" applyBorder="1" applyAlignment="1">
      <alignment horizontal="center" vertical="center" wrapText="1"/>
    </xf>
    <xf numFmtId="0" fontId="6" fillId="0" borderId="8" xfId="0" applyNumberFormat="1" applyFont="1" applyBorder="1" applyAlignment="1">
      <alignment horizontal="center" vertical="center" wrapText="1"/>
    </xf>
    <xf numFmtId="0" fontId="6"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6" fillId="13" borderId="3" xfId="0" applyNumberFormat="1" applyFont="1" applyFill="1" applyBorder="1" applyAlignment="1">
      <alignment horizontal="left" vertical="center" wrapText="1" indent="1"/>
    </xf>
    <xf numFmtId="0" fontId="6" fillId="0" borderId="10" xfId="0" applyNumberFormat="1" applyFont="1" applyBorder="1" applyAlignment="1">
      <alignment horizontal="right" vertical="center" wrapText="1" indent="1"/>
    </xf>
    <xf numFmtId="4" fontId="6" fillId="12" borderId="28" xfId="0" applyNumberFormat="1" applyFont="1" applyFill="1" applyBorder="1" applyAlignment="1" applyProtection="1">
      <alignment horizontal="right" vertical="center" wrapText="1"/>
      <protection locked="0"/>
    </xf>
    <xf numFmtId="3" fontId="6" fillId="12" borderId="5" xfId="0" applyNumberFormat="1" applyFont="1" applyFill="1" applyBorder="1" applyAlignment="1" applyProtection="1">
      <alignment horizontal="right" vertical="center" wrapText="1"/>
      <protection locked="0"/>
    </xf>
    <xf numFmtId="0" fontId="30" fillId="10" borderId="6" xfId="0" applyNumberFormat="1" applyFont="1" applyFill="1" applyBorder="1" applyAlignment="1">
      <alignment vertical="center" wrapText="1"/>
    </xf>
    <xf numFmtId="0" fontId="6" fillId="0" borderId="3" xfId="0" applyNumberFormat="1" applyFont="1" applyBorder="1" applyAlignment="1">
      <alignment horizontal="center" vertical="center" wrapText="1"/>
    </xf>
    <xf numFmtId="0" fontId="6" fillId="0" borderId="8" xfId="0" applyNumberFormat="1" applyFont="1" applyBorder="1" applyAlignment="1">
      <alignment horizontal="center" vertical="center" wrapText="1"/>
    </xf>
    <xf numFmtId="0" fontId="6" fillId="0" borderId="5" xfId="0" applyNumberFormat="1" applyFont="1" applyBorder="1" applyAlignment="1">
      <alignment horizontal="left" vertical="center" wrapText="1"/>
    </xf>
    <xf numFmtId="0" fontId="6" fillId="0" borderId="14" xfId="0" applyNumberFormat="1" applyFont="1" applyBorder="1" applyAlignment="1">
      <alignment horizontal="center" vertical="center" wrapText="1"/>
    </xf>
    <xf numFmtId="0" fontId="6" fillId="0" borderId="5" xfId="0" applyNumberFormat="1" applyFont="1" applyBorder="1" applyAlignment="1">
      <alignment horizontal="left" vertical="center" wrapText="1" indent="1"/>
    </xf>
    <xf numFmtId="0" fontId="6"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49" fontId="6"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6" fillId="12" borderId="3" xfId="0" applyNumberFormat="1" applyFont="1" applyFill="1" applyBorder="1" applyAlignment="1" applyProtection="1">
      <alignment horizontal="left" vertical="center" wrapText="1" indent="1"/>
      <protection locked="0"/>
    </xf>
    <xf numFmtId="0" fontId="6" fillId="12" borderId="3" xfId="0" applyNumberFormat="1" applyFont="1" applyFill="1" applyBorder="1" applyAlignment="1" applyProtection="1">
      <alignment horizontal="left" vertical="center" wrapText="1" indent="1"/>
      <protection locked="0"/>
    </xf>
    <xf numFmtId="49" fontId="10" fillId="12" borderId="3" xfId="0" applyNumberFormat="1" applyFont="1" applyFill="1" applyBorder="1" applyAlignment="1" applyProtection="1">
      <alignment horizontal="left" vertical="center" wrapText="1" indent="1"/>
      <protection locked="0"/>
    </xf>
    <xf numFmtId="49" fontId="6" fillId="9" borderId="3" xfId="0" applyNumberFormat="1" applyFont="1" applyFill="1" applyBorder="1" applyAlignment="1" applyProtection="1">
      <alignment horizontal="left" vertical="center" wrapText="1"/>
      <protection locked="0"/>
    </xf>
    <xf numFmtId="49" fontId="6"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3" fillId="10" borderId="5" xfId="0" applyNumberFormat="1" applyFont="1" applyFill="1" applyBorder="1" applyAlignment="1">
      <alignment horizontal="left" vertical="center"/>
    </xf>
    <xf numFmtId="0" fontId="23" fillId="10" borderId="6" xfId="0" applyNumberFormat="1" applyFont="1" applyFill="1" applyBorder="1" applyAlignment="1">
      <alignment horizontal="left" vertical="center"/>
    </xf>
    <xf numFmtId="0" fontId="23" fillId="10" borderId="6" xfId="0" applyNumberFormat="1" applyFont="1" applyFill="1" applyBorder="1" applyAlignment="1">
      <alignment horizontal="left" vertical="center"/>
    </xf>
    <xf numFmtId="0" fontId="23" fillId="10" borderId="4" xfId="0" applyNumberFormat="1" applyFont="1" applyFill="1" applyBorder="1" applyAlignment="1">
      <alignment horizontal="left" vertical="center"/>
    </xf>
    <xf numFmtId="0" fontId="23" fillId="10" borderId="5" xfId="0" applyNumberFormat="1" applyFont="1" applyFill="1" applyBorder="1" applyAlignment="1">
      <alignment horizontal="left" vertical="center"/>
    </xf>
    <xf numFmtId="0" fontId="23" fillId="10" borderId="6" xfId="0" applyNumberFormat="1" applyFont="1" applyFill="1" applyBorder="1" applyAlignment="1">
      <alignment horizontal="left" vertical="center"/>
    </xf>
    <xf numFmtId="0" fontId="23"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3" fillId="10" borderId="4" xfId="0" applyNumberFormat="1" applyFont="1" applyFill="1" applyBorder="1" applyAlignment="1">
      <alignment horizontal="left" vertical="center"/>
    </xf>
    <xf numFmtId="0" fontId="23" fillId="10" borderId="5" xfId="0" applyNumberFormat="1" applyFont="1" applyFill="1" applyBorder="1" applyAlignment="1">
      <alignment horizontal="left" vertical="center"/>
    </xf>
    <xf numFmtId="0" fontId="23" fillId="10" borderId="6" xfId="0" applyNumberFormat="1" applyFont="1" applyFill="1" applyBorder="1" applyAlignment="1">
      <alignment horizontal="left" vertical="center"/>
    </xf>
    <xf numFmtId="0" fontId="23" fillId="10" borderId="6" xfId="0" applyNumberFormat="1" applyFont="1" applyFill="1" applyBorder="1" applyAlignment="1">
      <alignment horizontal="left" vertical="center"/>
    </xf>
    <xf numFmtId="0" fontId="23" fillId="10" borderId="6" xfId="0" applyNumberFormat="1" applyFont="1" applyFill="1" applyBorder="1" applyAlignment="1">
      <alignment horizontal="left" vertical="center"/>
    </xf>
    <xf numFmtId="0" fontId="23" fillId="10" borderId="6" xfId="0" applyNumberFormat="1" applyFont="1" applyFill="1" applyBorder="1" applyAlignment="1">
      <alignment horizontal="left" vertical="center"/>
    </xf>
    <xf numFmtId="0" fontId="23" fillId="10" borderId="6" xfId="0" applyNumberFormat="1" applyFont="1" applyFill="1" applyBorder="1" applyAlignment="1">
      <alignment horizontal="left" vertical="center"/>
    </xf>
    <xf numFmtId="0" fontId="23"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3" fillId="10" borderId="4" xfId="0" applyNumberFormat="1" applyFont="1" applyFill="1" applyBorder="1" applyAlignment="1">
      <alignment horizontal="left" vertical="center"/>
    </xf>
    <xf numFmtId="0" fontId="23" fillId="10" borderId="5" xfId="0" applyNumberFormat="1" applyFont="1" applyFill="1" applyBorder="1" applyAlignment="1">
      <alignment horizontal="left" vertical="center"/>
    </xf>
    <xf numFmtId="0" fontId="23" fillId="10" borderId="6" xfId="0" applyNumberFormat="1" applyFont="1" applyFill="1" applyBorder="1" applyAlignment="1">
      <alignment horizontal="left" vertical="center"/>
    </xf>
    <xf numFmtId="0" fontId="23" fillId="10" borderId="6" xfId="0" applyNumberFormat="1" applyFont="1" applyFill="1" applyBorder="1" applyAlignment="1">
      <alignment horizontal="left" vertical="center"/>
    </xf>
    <xf numFmtId="0" fontId="23" fillId="10" borderId="6" xfId="0" applyNumberFormat="1" applyFont="1" applyFill="1" applyBorder="1" applyAlignment="1">
      <alignment horizontal="left" vertical="center"/>
    </xf>
    <xf numFmtId="0" fontId="23" fillId="10" borderId="6" xfId="0" applyNumberFormat="1" applyFont="1" applyFill="1" applyBorder="1" applyAlignment="1">
      <alignment horizontal="left" vertical="center"/>
    </xf>
    <xf numFmtId="0" fontId="23" fillId="10" borderId="6" xfId="0" applyNumberFormat="1" applyFont="1" applyFill="1" applyBorder="1" applyAlignment="1">
      <alignment horizontal="left" vertical="center"/>
    </xf>
    <xf numFmtId="0" fontId="23" fillId="10" borderId="6" xfId="0" applyNumberFormat="1" applyFont="1" applyFill="1" applyBorder="1" applyAlignment="1">
      <alignment horizontal="left" vertical="center"/>
    </xf>
    <xf numFmtId="0" fontId="23" fillId="10" borderId="6" xfId="0" applyNumberFormat="1" applyFont="1" applyFill="1" applyBorder="1" applyAlignment="1">
      <alignment horizontal="left" vertical="center"/>
    </xf>
    <xf numFmtId="0" fontId="23" fillId="10" borderId="6" xfId="0" applyNumberFormat="1" applyFont="1" applyFill="1" applyBorder="1" applyAlignment="1">
      <alignment horizontal="left" vertical="center"/>
    </xf>
    <xf numFmtId="0" fontId="23" fillId="10" borderId="6" xfId="0" applyNumberFormat="1" applyFont="1" applyFill="1" applyBorder="1" applyAlignment="1">
      <alignment horizontal="left" vertical="center"/>
    </xf>
    <xf numFmtId="0" fontId="23"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3" fillId="10" borderId="4" xfId="0" applyNumberFormat="1" applyFont="1" applyFill="1" applyBorder="1" applyAlignment="1">
      <alignment horizontal="left" vertical="center"/>
    </xf>
    <xf numFmtId="0" fontId="6" fillId="0" borderId="0" xfId="0" applyNumberFormat="1" applyFont="1" applyAlignment="1">
      <alignment vertical="center" wrapText="1"/>
    </xf>
    <xf numFmtId="4" fontId="6" fillId="9" borderId="3" xfId="0" applyNumberFormat="1" applyFont="1" applyFill="1" applyBorder="1" applyAlignment="1" applyProtection="1">
      <alignment horizontal="right" vertical="center" wrapText="1"/>
      <protection locked="0"/>
    </xf>
    <xf numFmtId="4" fontId="6" fillId="0" borderId="3" xfId="0" applyNumberFormat="1" applyFont="1" applyBorder="1" applyAlignment="1">
      <alignment horizontal="right" vertical="center" wrapText="1"/>
    </xf>
    <xf numFmtId="165" fontId="6" fillId="9" borderId="3" xfId="0" applyNumberFormat="1" applyFont="1" applyFill="1" applyBorder="1" applyAlignment="1" applyProtection="1">
      <alignment horizontal="right" vertical="center" wrapText="1"/>
      <protection locked="0"/>
    </xf>
    <xf numFmtId="4" fontId="31" fillId="0" borderId="3" xfId="0" applyNumberFormat="1" applyFont="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1" fillId="0" borderId="10" xfId="0" applyNumberFormat="1" applyFont="1" applyBorder="1" applyAlignment="1">
      <alignment horizontal="center" vertical="center" wrapText="1"/>
    </xf>
    <xf numFmtId="49" fontId="31" fillId="0" borderId="0" xfId="0" applyNumberFormat="1" applyFont="1" applyAlignment="1">
      <alignment horizontal="center" vertical="center" wrapText="1"/>
    </xf>
    <xf numFmtId="0" fontId="30" fillId="0" borderId="0" xfId="0" applyNumberFormat="1" applyFont="1" applyAlignment="1">
      <alignment vertical="center" wrapText="1"/>
    </xf>
    <xf numFmtId="49" fontId="30" fillId="0" borderId="3" xfId="0" applyNumberFormat="1" applyFont="1" applyBorder="1" applyAlignment="1">
      <alignment vertical="center" wrapText="1"/>
    </xf>
    <xf numFmtId="0" fontId="30" fillId="0" borderId="0" xfId="0" applyNumberFormat="1" applyFont="1" applyAlignment="1">
      <alignment vertical="center"/>
    </xf>
    <xf numFmtId="0" fontId="6" fillId="0" borderId="10" xfId="0" applyNumberFormat="1" applyFont="1" applyBorder="1" applyAlignment="1">
      <alignment horizontal="left" vertical="top" wrapText="1" indent="1"/>
    </xf>
    <xf numFmtId="0" fontId="6" fillId="0" borderId="18" xfId="0" applyNumberFormat="1" applyFont="1" applyBorder="1" applyAlignment="1">
      <alignment horizontal="left" vertical="center" wrapText="1" indent="1"/>
    </xf>
    <xf numFmtId="0" fontId="33" fillId="8" borderId="0" xfId="0" applyNumberFormat="1" applyFont="1" applyFill="1" applyAlignment="1">
      <alignment horizontal="center" vertical="center" wrapText="1"/>
    </xf>
    <xf numFmtId="0" fontId="31"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3" fillId="8" borderId="10"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6" fillId="0" borderId="0" xfId="0" applyNumberFormat="1" applyFont="1">
      <alignment vertical="top"/>
    </xf>
    <xf numFmtId="0" fontId="6" fillId="0" borderId="0" xfId="0" applyNumberFormat="1" applyFont="1" applyAlignment="1">
      <alignment vertical="top" wrapText="1"/>
    </xf>
    <xf numFmtId="0" fontId="6" fillId="13" borderId="3" xfId="0" applyNumberFormat="1" applyFont="1" applyFill="1" applyBorder="1" applyAlignment="1">
      <alignment horizontal="left" vertical="center" wrapText="1"/>
    </xf>
    <xf numFmtId="0" fontId="54" fillId="0" borderId="0" xfId="0" applyNumberFormat="1" applyFont="1" applyAlignment="1">
      <alignment vertical="center" wrapText="1"/>
    </xf>
    <xf numFmtId="0" fontId="31" fillId="0" borderId="0" xfId="0" applyNumberFormat="1" applyFont="1" applyAlignment="1">
      <alignment vertical="center"/>
    </xf>
    <xf numFmtId="49" fontId="36" fillId="12" borderId="3" xfId="0" applyNumberFormat="1" applyFont="1" applyFill="1" applyBorder="1" applyAlignment="1" applyProtection="1">
      <alignment horizontal="left" vertical="center" wrapText="1"/>
      <protection locked="0"/>
    </xf>
    <xf numFmtId="49" fontId="0" fillId="0" borderId="0" xfId="0" applyNumberFormat="1" applyFont="1">
      <alignment vertical="top"/>
    </xf>
    <xf numFmtId="0" fontId="0" fillId="0" borderId="0" xfId="0" applyNumberFormat="1" applyFont="1">
      <alignment vertical="top"/>
    </xf>
    <xf numFmtId="0" fontId="12" fillId="0" borderId="0" xfId="0" applyNumberFormat="1" applyFont="1" applyAlignment="1"/>
    <xf numFmtId="0" fontId="46" fillId="0" borderId="0" xfId="0" applyNumberFormat="1" applyFont="1" applyAlignment="1">
      <alignment vertical="center" wrapText="1"/>
    </xf>
    <xf numFmtId="0" fontId="15" fillId="0" borderId="0" xfId="0" applyNumberFormat="1" applyFont="1" applyAlignment="1">
      <alignment vertical="center" wrapText="1"/>
    </xf>
    <xf numFmtId="0" fontId="43" fillId="0" borderId="0" xfId="0" applyNumberFormat="1" applyFont="1" applyAlignment="1">
      <alignment vertical="center" wrapText="1"/>
    </xf>
    <xf numFmtId="0" fontId="6" fillId="0" borderId="0" xfId="0" applyNumberFormat="1" applyFont="1" applyAlignment="1">
      <alignment vertical="center" wrapText="1"/>
    </xf>
    <xf numFmtId="0" fontId="74" fillId="0" borderId="0" xfId="0" applyNumberFormat="1" applyFont="1" applyAlignment="1">
      <alignment horizontal="left" vertical="center" wrapText="1"/>
    </xf>
    <xf numFmtId="0" fontId="15" fillId="0" borderId="0" xfId="0" applyNumberFormat="1" applyFont="1" applyAlignment="1">
      <alignment horizontal="left" vertical="center" wrapText="1"/>
    </xf>
    <xf numFmtId="0" fontId="16" fillId="0" borderId="0" xfId="0" applyNumberFormat="1" applyFont="1" applyAlignment="1">
      <alignment vertical="center" wrapText="1"/>
    </xf>
    <xf numFmtId="0" fontId="6" fillId="0" borderId="0" xfId="0" applyNumberFormat="1" applyFont="1" applyAlignment="1">
      <alignment horizontal="center" vertical="center" wrapText="1"/>
    </xf>
    <xf numFmtId="0" fontId="15" fillId="0" borderId="0" xfId="0" applyNumberFormat="1" applyFont="1" applyAlignment="1">
      <alignment horizontal="center" vertical="center" wrapText="1"/>
    </xf>
    <xf numFmtId="0" fontId="30" fillId="0" borderId="0" xfId="0" applyNumberFormat="1" applyFont="1" applyAlignment="1">
      <alignment vertical="center" wrapText="1"/>
    </xf>
    <xf numFmtId="0" fontId="31" fillId="0" borderId="0" xfId="0" applyNumberFormat="1" applyFont="1" applyAlignment="1">
      <alignment vertical="center" wrapText="1"/>
    </xf>
    <xf numFmtId="0" fontId="39" fillId="0" borderId="0" xfId="0" applyNumberFormat="1" applyFont="1" applyAlignment="1">
      <alignment vertical="center" wrapText="1"/>
    </xf>
    <xf numFmtId="0" fontId="25" fillId="0" borderId="0" xfId="0" applyNumberFormat="1" applyFont="1" applyAlignment="1">
      <alignment vertical="center" wrapText="1"/>
    </xf>
    <xf numFmtId="49" fontId="0" fillId="0" borderId="0" xfId="0" applyNumberFormat="1" applyFont="1">
      <alignment vertical="top"/>
    </xf>
    <xf numFmtId="0" fontId="28" fillId="0" borderId="0" xfId="0" applyNumberFormat="1" applyFont="1" applyAlignment="1">
      <alignment vertical="center" wrapText="1"/>
    </xf>
    <xf numFmtId="0" fontId="20" fillId="0" borderId="0" xfId="0" applyNumberFormat="1" applyFont="1" applyAlignment="1">
      <alignment horizontal="center" vertical="center" wrapText="1"/>
    </xf>
    <xf numFmtId="0" fontId="31" fillId="0" borderId="0" xfId="0" applyNumberFormat="1" applyFont="1" applyAlignment="1">
      <alignment vertical="center"/>
    </xf>
    <xf numFmtId="0" fontId="38" fillId="0" borderId="0" xfId="0" applyNumberFormat="1" applyFont="1" applyAlignment="1">
      <alignment vertical="center"/>
    </xf>
    <xf numFmtId="0" fontId="24"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vertical="center"/>
    </xf>
    <xf numFmtId="0" fontId="6" fillId="0" borderId="0" xfId="0" applyNumberFormat="1" applyFont="1" applyAlignment="1">
      <alignment vertical="center"/>
    </xf>
    <xf numFmtId="0" fontId="50" fillId="0" borderId="0" xfId="0" applyNumberFormat="1" applyFont="1" applyAlignment="1">
      <alignment vertical="center"/>
    </xf>
    <xf numFmtId="49" fontId="31" fillId="0" borderId="0" xfId="0" applyNumberFormat="1" applyFont="1">
      <alignment vertical="top"/>
    </xf>
    <xf numFmtId="49" fontId="31" fillId="0" borderId="0" xfId="0" applyNumberFormat="1" applyFont="1" applyAlignment="1">
      <alignment horizontal="center" vertical="center"/>
    </xf>
    <xf numFmtId="49" fontId="50" fillId="0" borderId="0" xfId="0" applyNumberFormat="1" applyFont="1">
      <alignment vertical="top"/>
    </xf>
    <xf numFmtId="49" fontId="15" fillId="0" borderId="0" xfId="0" applyNumberFormat="1" applyFont="1">
      <alignment vertical="top"/>
    </xf>
    <xf numFmtId="0" fontId="44" fillId="8" borderId="0" xfId="0" applyNumberFormat="1" applyFont="1" applyFill="1" applyAlignment="1"/>
    <xf numFmtId="0" fontId="31" fillId="8" borderId="0" xfId="0" applyNumberFormat="1" applyFont="1" applyFill="1" applyAlignment="1"/>
    <xf numFmtId="0" fontId="59" fillId="8" borderId="0" xfId="0" applyNumberFormat="1" applyFont="1" applyFill="1" applyAlignment="1"/>
    <xf numFmtId="0" fontId="6"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1" fillId="0" borderId="0" xfId="0" applyNumberFormat="1" applyFont="1" applyAlignment="1">
      <alignment vertical="center" wrapText="1"/>
    </xf>
    <xf numFmtId="0" fontId="55" fillId="0" borderId="0" xfId="0" applyNumberFormat="1" applyFont="1" applyAlignment="1">
      <alignment vertical="center" wrapText="1"/>
    </xf>
    <xf numFmtId="0" fontId="30" fillId="0" borderId="0" xfId="0" applyNumberFormat="1" applyFont="1" applyAlignment="1">
      <alignment horizontal="center" vertical="center" wrapText="1"/>
    </xf>
    <xf numFmtId="49" fontId="30" fillId="0" borderId="0" xfId="0" applyNumberFormat="1" applyFont="1" applyAlignment="1">
      <alignment vertical="center" wrapText="1"/>
    </xf>
    <xf numFmtId="49" fontId="6" fillId="0" borderId="0" xfId="0" applyNumberFormat="1" applyFont="1" applyAlignment="1">
      <alignment vertical="center" wrapText="1"/>
    </xf>
    <xf numFmtId="0" fontId="22" fillId="0" borderId="0" xfId="0" applyNumberFormat="1" applyFont="1" applyAlignment="1">
      <alignment vertical="center" wrapText="1"/>
    </xf>
    <xf numFmtId="0" fontId="6" fillId="0" borderId="0" xfId="0" applyNumberFormat="1" applyFont="1" applyAlignment="1">
      <alignment horizontal="left" vertical="center" wrapText="1"/>
    </xf>
    <xf numFmtId="49" fontId="0" fillId="0" borderId="0" xfId="0" applyNumberFormat="1" applyFont="1">
      <alignment vertical="top"/>
    </xf>
    <xf numFmtId="0" fontId="30" fillId="0" borderId="0" xfId="0" applyNumberFormat="1" applyFont="1" applyAlignment="1">
      <alignment horizontal="left" vertical="center"/>
    </xf>
    <xf numFmtId="0" fontId="52" fillId="0" borderId="0" xfId="0" applyNumberFormat="1" applyFont="1" applyAlignment="1">
      <alignment vertical="center" wrapText="1"/>
    </xf>
    <xf numFmtId="0" fontId="30" fillId="0" borderId="0" xfId="0" applyNumberFormat="1" applyFont="1" applyAlignment="1">
      <alignment horizontal="left" vertical="center" wrapText="1"/>
    </xf>
    <xf numFmtId="49" fontId="74" fillId="0" borderId="0" xfId="0" applyNumberFormat="1" applyFont="1" applyAlignment="1">
      <alignment horizontal="center" vertical="center" wrapText="1"/>
    </xf>
    <xf numFmtId="0" fontId="37" fillId="0" borderId="0" xfId="0" applyNumberFormat="1" applyFont="1" applyAlignment="1">
      <alignment vertical="center" wrapText="1"/>
    </xf>
    <xf numFmtId="49" fontId="15"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66" fillId="0" borderId="0" xfId="0" applyNumberFormat="1" applyFont="1" applyAlignment="1">
      <alignment vertical="center" wrapText="1"/>
    </xf>
    <xf numFmtId="49" fontId="28" fillId="0" borderId="0" xfId="0" applyNumberFormat="1" applyFont="1" applyAlignment="1">
      <alignment vertical="center"/>
    </xf>
    <xf numFmtId="49" fontId="6" fillId="0" borderId="0" xfId="0" applyNumberFormat="1" applyFont="1" applyAlignment="1">
      <alignment horizontal="center" vertical="top" wrapText="1"/>
    </xf>
    <xf numFmtId="49" fontId="6"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8" fillId="0" borderId="0" xfId="0" applyNumberFormat="1" applyFont="1" applyAlignment="1">
      <alignment vertical="center" wrapText="1"/>
    </xf>
    <xf numFmtId="49" fontId="82" fillId="0" borderId="0" xfId="0" applyNumberFormat="1" applyFont="1" applyAlignment="1">
      <alignment vertical="center" wrapText="1"/>
    </xf>
    <xf numFmtId="49" fontId="6" fillId="0" borderId="0" xfId="0" applyNumberFormat="1" applyFont="1">
      <alignment vertical="top"/>
    </xf>
    <xf numFmtId="0" fontId="6" fillId="0" borderId="0" xfId="0" applyNumberFormat="1" applyFont="1" applyAlignment="1">
      <alignment vertical="center" wrapText="1"/>
    </xf>
    <xf numFmtId="49" fontId="6" fillId="0" borderId="0" xfId="0" applyNumberFormat="1" applyFont="1" applyAlignment="1">
      <alignment vertical="top" wrapText="1"/>
    </xf>
    <xf numFmtId="0" fontId="6" fillId="0" borderId="0" xfId="0" applyNumberFormat="1" applyFont="1" applyAlignment="1">
      <alignment vertical="top" wrapText="1"/>
    </xf>
    <xf numFmtId="49" fontId="6" fillId="0" borderId="0" xfId="0" applyNumberFormat="1" applyFont="1" applyAlignment="1">
      <alignment horizontal="center" vertical="top"/>
    </xf>
    <xf numFmtId="49" fontId="6"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50" fillId="8" borderId="0" xfId="0" applyNumberFormat="1" applyFont="1" applyFill="1" applyAlignment="1"/>
    <xf numFmtId="0" fontId="25" fillId="0" borderId="0" xfId="0" applyNumberFormat="1" applyFont="1" applyAlignment="1">
      <alignment horizontal="center" vertical="center" wrapText="1"/>
    </xf>
    <xf numFmtId="49" fontId="20" fillId="0" borderId="0" xfId="0" applyNumberFormat="1" applyFont="1" applyAlignment="1">
      <alignment horizontal="center" vertical="center"/>
    </xf>
    <xf numFmtId="0" fontId="6" fillId="0" borderId="0" xfId="0" applyNumberFormat="1" applyFont="1" applyAlignment="1"/>
    <xf numFmtId="0" fontId="20" fillId="0" borderId="0" xfId="0" applyNumberFormat="1" applyFont="1" applyAlignment="1">
      <alignment horizontal="center" vertical="center"/>
    </xf>
    <xf numFmtId="49" fontId="0" fillId="11" borderId="0" xfId="0" applyNumberFormat="1" applyFont="1" applyFill="1">
      <alignment vertical="top"/>
    </xf>
    <xf numFmtId="4" fontId="0" fillId="12" borderId="3" xfId="0" applyNumberFormat="1" applyFont="1" applyFill="1" applyBorder="1" applyAlignment="1" applyProtection="1">
      <alignment horizontal="right" vertical="center" wrapText="1"/>
      <protection locked="0"/>
    </xf>
    <xf numFmtId="49" fontId="78" fillId="0" borderId="0" xfId="0" applyNumberFormat="1" applyFont="1" applyAlignment="1">
      <alignment vertical="top" wrapText="1"/>
    </xf>
    <xf numFmtId="49" fontId="78" fillId="0" borderId="0" xfId="0" applyNumberFormat="1" applyFont="1">
      <alignment vertical="top"/>
    </xf>
    <xf numFmtId="49" fontId="78" fillId="0" borderId="0" xfId="0" applyNumberFormat="1" applyFont="1" applyAlignment="1">
      <alignment horizontal="center" vertical="top" wrapText="1"/>
    </xf>
    <xf numFmtId="49" fontId="78" fillId="0" borderId="0" xfId="0" applyNumberFormat="1" applyFont="1" applyAlignment="1">
      <alignment horizontal="left" vertical="top" wrapText="1"/>
    </xf>
    <xf numFmtId="49" fontId="78" fillId="14" borderId="0" xfId="0" applyNumberFormat="1" applyFont="1" applyFill="1" applyAlignment="1">
      <alignment horizontal="left" vertical="top" wrapText="1"/>
    </xf>
    <xf numFmtId="0" fontId="78"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2" fillId="0" borderId="0" xfId="0" applyNumberFormat="1" applyFont="1" applyAlignment="1"/>
    <xf numFmtId="0" fontId="85" fillId="0" borderId="0" xfId="0" applyNumberFormat="1" applyFont="1" applyAlignment="1">
      <alignment vertical="center" wrapText="1"/>
    </xf>
    <xf numFmtId="0" fontId="85" fillId="0" borderId="0" xfId="0" applyNumberFormat="1" applyFont="1" applyAlignment="1">
      <alignment vertical="center"/>
    </xf>
    <xf numFmtId="0" fontId="29" fillId="29" borderId="54" xfId="0" applyNumberFormat="1" applyFont="1" applyFill="1" applyBorder="1" applyAlignment="1">
      <alignment horizontal="center" vertical="center" wrapText="1"/>
    </xf>
    <xf numFmtId="0" fontId="29" fillId="29" borderId="55" xfId="0" applyNumberFormat="1" applyFont="1" applyFill="1" applyBorder="1" applyAlignment="1">
      <alignment horizontal="center" vertical="center" wrapText="1"/>
    </xf>
    <xf numFmtId="0" fontId="29" fillId="29" borderId="56" xfId="0" applyNumberFormat="1" applyFont="1" applyFill="1" applyBorder="1" applyAlignment="1">
      <alignment horizontal="center" vertical="center" wrapText="1"/>
    </xf>
    <xf numFmtId="0" fontId="29" fillId="19" borderId="29" xfId="0" applyNumberFormat="1" applyFont="1" applyFill="1" applyBorder="1" applyAlignment="1">
      <alignment horizontal="right" vertical="center" wrapText="1" indent="1"/>
    </xf>
    <xf numFmtId="0" fontId="29" fillId="19" borderId="57" xfId="0" applyNumberFormat="1" applyFont="1" applyFill="1" applyBorder="1" applyAlignment="1">
      <alignment horizontal="right" vertical="center" wrapText="1" indent="1"/>
    </xf>
    <xf numFmtId="0" fontId="29" fillId="19" borderId="0" xfId="0" applyNumberFormat="1" applyFont="1" applyFill="1" applyAlignment="1">
      <alignment horizontal="right" vertical="center" wrapText="1" indent="1"/>
    </xf>
    <xf numFmtId="0" fontId="103" fillId="0" borderId="29" xfId="0" applyNumberFormat="1" applyFont="1" applyBorder="1" applyAlignment="1">
      <alignment vertical="center" wrapText="1"/>
    </xf>
    <xf numFmtId="0" fontId="103" fillId="0" borderId="0" xfId="0" applyNumberFormat="1" applyFont="1" applyAlignment="1">
      <alignment vertical="center" wrapText="1"/>
    </xf>
    <xf numFmtId="0" fontId="103" fillId="0" borderId="29" xfId="0" applyNumberFormat="1" applyFont="1" applyBorder="1" applyAlignment="1">
      <alignment horizontal="left" vertical="center" wrapText="1"/>
    </xf>
    <xf numFmtId="0" fontId="103" fillId="0" borderId="0" xfId="0" applyNumberFormat="1" applyFont="1" applyAlignment="1">
      <alignment horizontal="left" vertical="center" wrapText="1"/>
    </xf>
    <xf numFmtId="0" fontId="29" fillId="19" borderId="51" xfId="0" applyNumberFormat="1" applyFont="1" applyFill="1" applyBorder="1" applyAlignment="1">
      <alignment horizontal="right" vertical="center" wrapText="1" indent="1"/>
    </xf>
    <xf numFmtId="0" fontId="29" fillId="19" borderId="58" xfId="0" applyNumberFormat="1" applyFont="1" applyFill="1" applyBorder="1" applyAlignment="1">
      <alignment horizontal="right" vertical="center" wrapText="1" indent="1"/>
    </xf>
    <xf numFmtId="0" fontId="29" fillId="19" borderId="53" xfId="0" applyNumberFormat="1" applyFont="1" applyFill="1" applyBorder="1" applyAlignment="1">
      <alignment horizontal="right" vertical="center" wrapText="1" indent="1"/>
    </xf>
    <xf numFmtId="0" fontId="29" fillId="19" borderId="30" xfId="0" applyNumberFormat="1" applyFont="1" applyFill="1" applyBorder="1" applyAlignment="1">
      <alignment horizontal="right" vertical="center" wrapText="1" indent="1"/>
    </xf>
    <xf numFmtId="0" fontId="103" fillId="0" borderId="0" xfId="0" applyNumberFormat="1" applyFont="1" applyAlignment="1">
      <alignment vertical="top" wrapText="1"/>
    </xf>
    <xf numFmtId="49" fontId="49" fillId="0" borderId="0" xfId="0" applyNumberFormat="1" applyFont="1" applyAlignment="1">
      <alignment vertical="top" wrapText="1"/>
    </xf>
    <xf numFmtId="0" fontId="6" fillId="0" borderId="4"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79" fillId="0" borderId="0" xfId="0" applyNumberFormat="1" applyFont="1" applyAlignment="1">
      <alignment horizontal="left" vertical="center" wrapText="1"/>
    </xf>
    <xf numFmtId="14" fontId="76" fillId="0" borderId="3"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6" xfId="0" applyNumberFormat="1" applyFont="1" applyBorder="1" applyAlignment="1">
      <alignment horizontal="left" vertical="center" wrapText="1" indent="1"/>
    </xf>
    <xf numFmtId="0" fontId="6" fillId="0" borderId="6" xfId="0" applyNumberFormat="1" applyFont="1" applyBorder="1" applyAlignment="1">
      <alignment horizontal="center" vertical="center" wrapText="1"/>
    </xf>
    <xf numFmtId="4" fontId="6" fillId="0" borderId="3" xfId="0" applyNumberFormat="1" applyFont="1" applyBorder="1" applyAlignment="1">
      <alignment horizontal="center" vertical="center" wrapText="1"/>
    </xf>
    <xf numFmtId="0" fontId="6" fillId="13" borderId="8" xfId="0" applyNumberFormat="1" applyFont="1" applyFill="1" applyBorder="1" applyAlignment="1">
      <alignment horizontal="left" vertical="center" wrapText="1" indent="1"/>
    </xf>
    <xf numFmtId="0" fontId="6" fillId="13" borderId="14" xfId="0" applyNumberFormat="1" applyFont="1" applyFill="1" applyBorder="1" applyAlignment="1">
      <alignment horizontal="left" vertical="center" wrapText="1" indent="1"/>
    </xf>
    <xf numFmtId="49" fontId="6" fillId="13" borderId="3" xfId="0" applyNumberFormat="1" applyFont="1" applyFill="1" applyBorder="1" applyAlignment="1">
      <alignment horizontal="center" vertical="center" wrapText="1"/>
    </xf>
    <xf numFmtId="49" fontId="6" fillId="0" borderId="3" xfId="0" applyNumberFormat="1" applyFont="1" applyBorder="1" applyAlignment="1">
      <alignment horizontal="center" vertical="center" wrapText="1"/>
    </xf>
    <xf numFmtId="0" fontId="6" fillId="13" borderId="8" xfId="0" applyNumberFormat="1" applyFont="1" applyFill="1" applyBorder="1" applyAlignment="1">
      <alignment horizontal="left" vertical="center" wrapText="1" indent="2"/>
    </xf>
    <xf numFmtId="0" fontId="6" fillId="13" borderId="27" xfId="0" applyNumberFormat="1" applyFont="1" applyFill="1" applyBorder="1" applyAlignment="1">
      <alignment horizontal="left" vertical="center" wrapText="1" indent="2"/>
    </xf>
    <xf numFmtId="0" fontId="6" fillId="13" borderId="14" xfId="0" applyNumberFormat="1" applyFont="1" applyFill="1" applyBorder="1" applyAlignment="1">
      <alignment horizontal="left" vertical="center" wrapText="1" indent="2"/>
    </xf>
    <xf numFmtId="49" fontId="6" fillId="13" borderId="14" xfId="0" applyNumberFormat="1" applyFont="1" applyFill="1" applyBorder="1" applyAlignment="1">
      <alignment horizontal="center" vertical="center" wrapText="1"/>
    </xf>
    <xf numFmtId="14" fontId="64" fillId="0" borderId="59" xfId="0" applyNumberFormat="1" applyFont="1" applyBorder="1" applyAlignment="1">
      <alignment horizontal="center" vertical="center" wrapText="1"/>
    </xf>
    <xf numFmtId="0" fontId="6" fillId="0" borderId="59" xfId="0" applyNumberFormat="1" applyFont="1" applyBorder="1" applyAlignment="1">
      <alignment horizontal="center" vertical="center" wrapText="1"/>
    </xf>
    <xf numFmtId="49" fontId="19" fillId="0" borderId="60" xfId="0" applyNumberFormat="1" applyFont="1" applyBorder="1" applyAlignment="1">
      <alignment horizontal="center" vertical="center" wrapText="1"/>
    </xf>
    <xf numFmtId="49" fontId="19" fillId="0" borderId="61" xfId="0" applyNumberFormat="1" applyFont="1" applyBorder="1" applyAlignment="1">
      <alignment horizontal="center" vertical="center" wrapText="1"/>
    </xf>
    <xf numFmtId="49" fontId="19" fillId="0" borderId="5" xfId="0" applyNumberFormat="1" applyFont="1" applyBorder="1" applyAlignment="1">
      <alignment horizontal="center" vertical="center" wrapText="1"/>
    </xf>
    <xf numFmtId="49" fontId="19" fillId="0" borderId="4" xfId="0" applyNumberFormat="1" applyFont="1" applyBorder="1" applyAlignment="1">
      <alignment horizontal="center" vertical="center" wrapText="1"/>
    </xf>
    <xf numFmtId="0" fontId="6" fillId="0" borderId="11" xfId="0" applyNumberFormat="1" applyFont="1" applyBorder="1" applyAlignment="1">
      <alignment horizontal="left" vertical="center" wrapText="1" indent="1"/>
    </xf>
    <xf numFmtId="0" fontId="6" fillId="0" borderId="8" xfId="0" applyNumberFormat="1" applyFont="1" applyBorder="1" applyAlignment="1">
      <alignment horizontal="left" vertical="center" wrapText="1" indent="1"/>
    </xf>
    <xf numFmtId="0" fontId="6" fillId="0" borderId="28" xfId="0" applyNumberFormat="1" applyFont="1" applyBorder="1" applyAlignment="1">
      <alignment horizontal="left" vertical="center" wrapText="1" indent="1"/>
    </xf>
    <xf numFmtId="0" fontId="6" fillId="0" borderId="20" xfId="0" applyNumberFormat="1" applyFont="1" applyBorder="1" applyAlignment="1">
      <alignment horizontal="left" vertical="center" indent="1"/>
    </xf>
    <xf numFmtId="0" fontId="6" fillId="0" borderId="14" xfId="0" applyNumberFormat="1" applyFont="1" applyBorder="1" applyAlignment="1">
      <alignment horizontal="left" vertical="center" indent="1"/>
    </xf>
    <xf numFmtId="0" fontId="6" fillId="0" borderId="21" xfId="0" applyNumberFormat="1" applyFont="1" applyBorder="1" applyAlignment="1">
      <alignment horizontal="left" vertical="center" indent="1"/>
    </xf>
    <xf numFmtId="0" fontId="6" fillId="15" borderId="0" xfId="0" applyNumberFormat="1" applyFont="1" applyFill="1" applyAlignment="1">
      <alignment horizontal="center" vertical="center" wrapText="1"/>
    </xf>
    <xf numFmtId="0" fontId="6" fillId="0" borderId="3" xfId="0" applyNumberFormat="1" applyFont="1" applyBorder="1" applyAlignment="1">
      <alignment horizontal="center" vertical="center" wrapText="1"/>
    </xf>
    <xf numFmtId="0" fontId="58" fillId="0" borderId="28" xfId="0" applyNumberFormat="1" applyFont="1" applyBorder="1" applyAlignment="1">
      <alignment horizontal="center" vertical="center" wrapText="1"/>
    </xf>
    <xf numFmtId="0" fontId="5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8" fillId="0" borderId="3" xfId="0" applyNumberFormat="1" applyFont="1" applyBorder="1" applyAlignment="1">
      <alignment horizontal="center" vertical="center" wrapText="1"/>
    </xf>
    <xf numFmtId="0" fontId="6" fillId="0" borderId="62" xfId="0" applyNumberFormat="1" applyFont="1" applyBorder="1" applyAlignment="1">
      <alignment horizontal="center" vertical="center" wrapText="1"/>
    </xf>
    <xf numFmtId="0" fontId="6" fillId="0" borderId="6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49" fontId="6" fillId="13" borderId="8" xfId="0" applyNumberFormat="1" applyFont="1" applyFill="1" applyBorder="1" applyAlignment="1">
      <alignment horizontal="center" vertical="center" wrapText="1"/>
    </xf>
    <xf numFmtId="49" fontId="6" fillId="13" borderId="27" xfId="0" applyNumberFormat="1" applyFont="1" applyFill="1" applyBorder="1" applyAlignment="1">
      <alignment horizontal="center" vertical="center" wrapText="1"/>
    </xf>
    <xf numFmtId="49" fontId="0" fillId="0" borderId="3" xfId="0" applyNumberFormat="1" applyFont="1" applyBorder="1">
      <alignment vertical="top"/>
    </xf>
    <xf numFmtId="0" fontId="0" fillId="8" borderId="3" xfId="0" applyNumberFormat="1" applyFont="1" applyFill="1" applyBorder="1" applyAlignment="1">
      <alignment horizontal="left" vertical="center" wrapText="1"/>
    </xf>
    <xf numFmtId="49" fontId="6"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6" fillId="0" borderId="10"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0" fontId="6"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6" fillId="13" borderId="8" xfId="0" applyNumberFormat="1" applyFont="1" applyFill="1" applyBorder="1" applyAlignment="1">
      <alignment horizontal="center" vertical="top" wrapText="1"/>
    </xf>
    <xf numFmtId="0" fontId="6" fillId="13" borderId="27" xfId="0" applyNumberFormat="1" applyFont="1" applyFill="1" applyBorder="1" applyAlignment="1">
      <alignment horizontal="center" vertical="top" wrapText="1"/>
    </xf>
    <xf numFmtId="0" fontId="6"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6" fillId="0" borderId="10"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31" fillId="8" borderId="18" xfId="0" applyNumberFormat="1" applyFont="1" applyFill="1" applyBorder="1" applyAlignment="1">
      <alignment horizontal="center" vertical="center" wrapText="1"/>
    </xf>
    <xf numFmtId="0" fontId="6" fillId="0" borderId="11" xfId="0" applyNumberFormat="1" applyFont="1" applyBorder="1" applyAlignment="1">
      <alignment horizontal="left" vertical="top" wrapText="1" indent="1"/>
    </xf>
    <xf numFmtId="0" fontId="6" fillId="0" borderId="8" xfId="0" applyNumberFormat="1" applyFont="1" applyBorder="1" applyAlignment="1">
      <alignment horizontal="left" vertical="top" wrapText="1" indent="1"/>
    </xf>
    <xf numFmtId="0" fontId="6" fillId="0" borderId="28" xfId="0" applyNumberFormat="1" applyFont="1" applyBorder="1" applyAlignment="1">
      <alignment horizontal="left" vertical="top" wrapText="1" indent="1"/>
    </xf>
    <xf numFmtId="0" fontId="55" fillId="0" borderId="15" xfId="0" applyNumberFormat="1" applyFont="1" applyBorder="1" applyAlignment="1">
      <alignment horizontal="left" vertical="center" wrapText="1" indent="1"/>
    </xf>
    <xf numFmtId="0" fontId="55" fillId="0" borderId="27" xfId="0" applyNumberFormat="1" applyFont="1" applyBorder="1" applyAlignment="1">
      <alignment horizontal="left" vertical="center" wrapText="1" indent="1"/>
    </xf>
    <xf numFmtId="0" fontId="55" fillId="0" borderId="13" xfId="0" applyNumberFormat="1" applyFont="1" applyBorder="1" applyAlignment="1">
      <alignment horizontal="left" vertical="center" wrapText="1" indent="1"/>
    </xf>
    <xf numFmtId="0" fontId="6" fillId="0" borderId="18" xfId="0" applyNumberFormat="1" applyFont="1" applyBorder="1" applyAlignment="1">
      <alignment horizontal="left" vertical="center" indent="1"/>
    </xf>
    <xf numFmtId="0" fontId="6"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3" xfId="0" applyNumberFormat="1" applyFont="1" applyBorder="1" applyAlignment="1">
      <alignment horizontal="center" vertical="center"/>
    </xf>
    <xf numFmtId="0" fontId="6"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6" fillId="0" borderId="8" xfId="0" applyNumberFormat="1" applyFont="1" applyBorder="1" applyAlignment="1">
      <alignment horizontal="left" vertical="top" wrapText="1"/>
    </xf>
    <xf numFmtId="0" fontId="6" fillId="0" borderId="27" xfId="0" applyNumberFormat="1" applyFont="1" applyBorder="1" applyAlignment="1">
      <alignment horizontal="left" vertical="top" wrapText="1"/>
    </xf>
    <xf numFmtId="0" fontId="6" fillId="0" borderId="14" xfId="0" applyNumberFormat="1" applyFont="1" applyBorder="1" applyAlignment="1">
      <alignment horizontal="left" vertical="top" wrapText="1"/>
    </xf>
    <xf numFmtId="0" fontId="6" fillId="0" borderId="8" xfId="0" applyNumberFormat="1" applyFont="1" applyBorder="1" applyAlignment="1">
      <alignment horizontal="center" vertical="center" wrapText="1"/>
    </xf>
    <xf numFmtId="0" fontId="6" fillId="0" borderId="18" xfId="0" applyNumberFormat="1" applyFont="1" applyBorder="1" applyAlignment="1">
      <alignment horizontal="left" vertical="center" wrapText="1" indent="1"/>
    </xf>
    <xf numFmtId="0" fontId="23" fillId="0" borderId="0" xfId="0" applyNumberFormat="1" applyFont="1" applyAlignment="1">
      <alignment horizontal="left" vertical="center"/>
    </xf>
    <xf numFmtId="0" fontId="23" fillId="0" borderId="15" xfId="0" applyNumberFormat="1" applyFont="1" applyBorder="1" applyAlignment="1">
      <alignment horizontal="left" vertical="center"/>
    </xf>
    <xf numFmtId="0" fontId="6" fillId="0" borderId="3" xfId="0" applyNumberFormat="1" applyFont="1" applyBorder="1" applyAlignment="1">
      <alignment horizontal="left" vertical="center" wrapText="1"/>
    </xf>
    <xf numFmtId="0" fontId="6" fillId="0" borderId="28" xfId="0" applyNumberFormat="1" applyFont="1" applyBorder="1" applyAlignment="1">
      <alignment horizontal="left" vertical="center" wrapText="1"/>
    </xf>
    <xf numFmtId="0" fontId="6" fillId="0" borderId="10" xfId="0" applyNumberFormat="1" applyFont="1" applyBorder="1" applyAlignment="1">
      <alignment horizontal="center" vertical="center"/>
    </xf>
    <xf numFmtId="0" fontId="6" fillId="0" borderId="0" xfId="0" applyNumberFormat="1" applyFont="1" applyAlignment="1">
      <alignment horizontal="center" vertical="center"/>
    </xf>
    <xf numFmtId="49" fontId="6" fillId="0" borderId="3" xfId="0" applyNumberFormat="1" applyFont="1" applyBorder="1" applyAlignment="1">
      <alignment horizontal="center" vertical="center"/>
    </xf>
    <xf numFmtId="0" fontId="6" fillId="0" borderId="5" xfId="0" applyNumberFormat="1" applyFont="1" applyBorder="1" applyAlignment="1">
      <alignment horizontal="left" vertical="center" wrapText="1"/>
    </xf>
    <xf numFmtId="0" fontId="23" fillId="0" borderId="18" xfId="0" applyNumberFormat="1" applyFont="1" applyBorder="1" applyAlignment="1">
      <alignment horizontal="left" vertical="center"/>
    </xf>
    <xf numFmtId="0" fontId="23" fillId="0" borderId="20" xfId="0" applyNumberFormat="1" applyFont="1" applyBorder="1" applyAlignment="1">
      <alignment horizontal="left" vertical="center"/>
    </xf>
    <xf numFmtId="49" fontId="6" fillId="0" borderId="8" xfId="0" applyNumberFormat="1" applyFont="1" applyBorder="1" applyAlignment="1">
      <alignment horizontal="center" vertical="center"/>
    </xf>
    <xf numFmtId="0" fontId="6" fillId="0" borderId="8" xfId="0" applyNumberFormat="1" applyFont="1" applyBorder="1" applyAlignment="1">
      <alignment horizontal="left" vertical="center" wrapText="1"/>
    </xf>
    <xf numFmtId="0" fontId="6" fillId="0" borderId="10" xfId="0" applyNumberFormat="1" applyFont="1" applyBorder="1" applyAlignment="1">
      <alignment horizontal="left" vertical="center" wrapText="1" indent="1"/>
    </xf>
    <xf numFmtId="0" fontId="6" fillId="0" borderId="28" xfId="0" applyNumberFormat="1" applyFont="1" applyBorder="1" applyAlignment="1">
      <alignment horizontal="center" vertical="center" wrapText="1"/>
    </xf>
    <xf numFmtId="0" fontId="6" fillId="0" borderId="11" xfId="0" applyNumberFormat="1" applyFont="1" applyBorder="1" applyAlignment="1">
      <alignment horizontal="center" vertical="center" wrapText="1"/>
    </xf>
    <xf numFmtId="0" fontId="6" fillId="0" borderId="13"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0" fontId="6" fillId="0" borderId="27" xfId="0" applyNumberFormat="1" applyFont="1" applyBorder="1" applyAlignment="1">
      <alignment horizontal="center" vertical="center" wrapText="1"/>
    </xf>
    <xf numFmtId="0" fontId="6" fillId="0" borderId="21" xfId="0" applyNumberFormat="1" applyFont="1" applyBorder="1" applyAlignment="1">
      <alignment horizontal="center" vertical="center" wrapText="1"/>
    </xf>
    <xf numFmtId="0" fontId="6" fillId="0" borderId="20" xfId="0" applyNumberFormat="1" applyFont="1" applyBorder="1" applyAlignment="1">
      <alignment horizontal="center" vertical="center" wrapText="1"/>
    </xf>
    <xf numFmtId="49" fontId="6" fillId="8" borderId="0" xfId="0" applyNumberFormat="1" applyFont="1" applyFill="1" applyAlignment="1">
      <alignment horizontal="center" vertical="center" wrapText="1"/>
    </xf>
    <xf numFmtId="0" fontId="28"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6" fillId="8" borderId="3" xfId="0" applyNumberFormat="1" applyFont="1" applyFill="1" applyBorder="1" applyAlignment="1">
      <alignment horizontal="center" vertical="center" wrapText="1"/>
    </xf>
    <xf numFmtId="0" fontId="28" fillId="0" borderId="0" xfId="0" applyNumberFormat="1" applyFont="1" applyAlignment="1">
      <alignment horizontal="left" vertical="top" wrapText="1" indent="1"/>
    </xf>
    <xf numFmtId="0" fontId="76"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6" fillId="8" borderId="3" xfId="0" applyNumberFormat="1" applyFont="1" applyFill="1" applyBorder="1" applyAlignment="1">
      <alignment horizontal="center" vertical="center" wrapText="1"/>
    </xf>
    <xf numFmtId="0" fontId="6" fillId="8" borderId="8" xfId="0" applyNumberFormat="1" applyFont="1" applyFill="1" applyBorder="1" applyAlignment="1">
      <alignment horizontal="left" vertical="top" wrapText="1"/>
    </xf>
    <xf numFmtId="0" fontId="6" fillId="8" borderId="27" xfId="0" applyNumberFormat="1" applyFont="1" applyFill="1" applyBorder="1" applyAlignment="1">
      <alignment horizontal="left" vertical="top" wrapText="1"/>
    </xf>
    <xf numFmtId="0" fontId="6" fillId="8" borderId="14" xfId="0" applyNumberFormat="1" applyFont="1" applyFill="1" applyBorder="1" applyAlignment="1">
      <alignment horizontal="left" vertical="top" wrapText="1"/>
    </xf>
    <xf numFmtId="0" fontId="6" fillId="8" borderId="15" xfId="0" applyNumberFormat="1" applyFont="1" applyFill="1" applyBorder="1" applyAlignment="1">
      <alignment horizontal="center" vertical="center" wrapText="1"/>
    </xf>
    <xf numFmtId="0" fontId="6" fillId="0" borderId="20" xfId="0" applyNumberFormat="1" applyFont="1" applyBorder="1" applyAlignment="1">
      <alignment horizontal="left" vertical="center" wrapText="1" indent="1"/>
    </xf>
    <xf numFmtId="0" fontId="6" fillId="0" borderId="14" xfId="0" applyNumberFormat="1" applyFont="1" applyBorder="1" applyAlignment="1">
      <alignment horizontal="left" vertical="center" wrapText="1" indent="1"/>
    </xf>
    <xf numFmtId="0" fontId="6" fillId="0" borderId="21" xfId="0" applyNumberFormat="1" applyFont="1" applyBorder="1" applyAlignment="1">
      <alignment horizontal="left" vertical="center" wrapText="1" indent="1"/>
    </xf>
    <xf numFmtId="0" fontId="30"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6"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6" fillId="13" borderId="10" xfId="0" applyNumberFormat="1" applyFont="1" applyFill="1" applyBorder="1" applyAlignment="1">
      <alignment horizontal="left" vertical="center" wrapText="1"/>
    </xf>
    <xf numFmtId="0" fontId="6" fillId="13" borderId="18" xfId="0" applyNumberFormat="1" applyFont="1" applyFill="1" applyBorder="1" applyAlignment="1">
      <alignment horizontal="left" vertical="center" wrapText="1"/>
    </xf>
    <xf numFmtId="0" fontId="6"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167" fontId="0" fillId="12" borderId="3" xfId="13"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3" xfId="0" applyNumberFormat="1" applyFont="1" applyFill="1" applyBorder="1" applyAlignment="1" applyProtection="1">
      <alignment horizontal="center" vertical="center" wrapText="1"/>
      <protection locked="0"/>
    </xf>
    <xf numFmtId="0" fontId="6" fillId="7" borderId="3" xfId="0" applyNumberFormat="1" applyFont="1" applyFill="1" applyBorder="1" applyAlignment="1">
      <alignment horizontal="left" vertical="center" wrapText="1" indent="1"/>
    </xf>
    <xf numFmtId="167" fontId="6" fillId="7" borderId="3" xfId="0" applyNumberFormat="1" applyFont="1" applyFill="1" applyBorder="1" applyAlignment="1">
      <alignment horizontal="left" vertical="center" wrapText="1" indent="1"/>
    </xf>
    <xf numFmtId="0" fontId="20" fillId="0" borderId="18" xfId="0" applyNumberFormat="1" applyFont="1" applyBorder="1" applyAlignment="1">
      <alignment horizontal="center"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6" fillId="8" borderId="8" xfId="0" applyNumberFormat="1" applyFont="1" applyFill="1" applyBorder="1" applyAlignment="1">
      <alignment horizontal="center" vertical="center" wrapText="1"/>
    </xf>
    <xf numFmtId="0" fontId="6" fillId="8" borderId="27" xfId="0" applyNumberFormat="1" applyFont="1" applyFill="1" applyBorder="1" applyAlignment="1">
      <alignment horizontal="center" vertical="center" wrapText="1"/>
    </xf>
    <xf numFmtId="0" fontId="6" fillId="8" borderId="14" xfId="0" applyNumberFormat="1" applyFont="1" applyFill="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63" fillId="8" borderId="10" xfId="0" applyNumberFormat="1" applyFont="1" applyFill="1" applyBorder="1" applyAlignment="1">
      <alignment horizontal="center" vertical="center" wrapText="1"/>
    </xf>
    <xf numFmtId="0" fontId="6" fillId="7" borderId="5" xfId="0" applyNumberFormat="1" applyFont="1" applyFill="1" applyBorder="1" applyAlignment="1">
      <alignment horizontal="left" vertical="center" wrapText="1"/>
    </xf>
    <xf numFmtId="0" fontId="6" fillId="7" borderId="6" xfId="0" applyNumberFormat="1" applyFont="1" applyFill="1" applyBorder="1" applyAlignment="1">
      <alignment horizontal="left" vertical="center" wrapText="1"/>
    </xf>
    <xf numFmtId="0" fontId="6" fillId="7" borderId="4" xfId="0" applyNumberFormat="1" applyFont="1" applyFill="1" applyBorder="1" applyAlignment="1">
      <alignment horizontal="left" vertical="center" wrapText="1"/>
    </xf>
    <xf numFmtId="0" fontId="6" fillId="13" borderId="5" xfId="0" applyNumberFormat="1" applyFont="1" applyFill="1" applyBorder="1" applyAlignment="1">
      <alignment horizontal="left" vertical="center" wrapText="1"/>
    </xf>
    <xf numFmtId="0" fontId="6" fillId="13" borderId="6" xfId="0" applyNumberFormat="1" applyFont="1" applyFill="1" applyBorder="1" applyAlignment="1">
      <alignment horizontal="left" vertical="center" wrapText="1"/>
    </xf>
    <xf numFmtId="0" fontId="6"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28" fillId="0" borderId="8" xfId="0" applyNumberFormat="1" applyFont="1" applyBorder="1" applyAlignment="1">
      <alignment horizontal="left" vertical="top" wrapText="1"/>
    </xf>
    <xf numFmtId="0" fontId="28" fillId="0" borderId="27" xfId="0" applyNumberFormat="1" applyFont="1" applyBorder="1" applyAlignment="1">
      <alignment horizontal="left" vertical="top" wrapText="1"/>
    </xf>
    <xf numFmtId="0" fontId="28" fillId="0" borderId="14" xfId="0" applyNumberFormat="1" applyFont="1" applyBorder="1" applyAlignment="1">
      <alignment horizontal="left" vertical="top" wrapText="1"/>
    </xf>
    <xf numFmtId="0" fontId="30" fillId="0" borderId="3" xfId="0" applyNumberFormat="1" applyFont="1" applyBorder="1" applyAlignment="1">
      <alignment horizontal="center" vertical="center" wrapText="1"/>
    </xf>
    <xf numFmtId="0" fontId="31" fillId="0" borderId="0" xfId="0" applyNumberFormat="1" applyFont="1" applyAlignment="1">
      <alignment horizontal="center" vertical="center" wrapText="1"/>
    </xf>
    <xf numFmtId="0" fontId="30" fillId="0" borderId="3" xfId="0" applyNumberFormat="1" applyFont="1" applyBorder="1" applyAlignment="1">
      <alignment horizontal="center" vertical="center"/>
    </xf>
    <xf numFmtId="0" fontId="30" fillId="0" borderId="5" xfId="0" applyNumberFormat="1" applyFont="1" applyBorder="1" applyAlignment="1">
      <alignment horizontal="center" vertical="center"/>
    </xf>
    <xf numFmtId="167" fontId="30"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0" fontId="6" fillId="8" borderId="3" xfId="0" applyNumberFormat="1" applyFont="1" applyFill="1" applyBorder="1" applyAlignment="1">
      <alignment horizontal="left" vertical="center" wrapText="1"/>
    </xf>
    <xf numFmtId="49" fontId="23" fillId="10" borderId="8" xfId="0" applyNumberFormat="1" applyFont="1" applyFill="1" applyBorder="1" applyAlignment="1">
      <alignment horizontal="center" vertical="center" textRotation="90" wrapText="1"/>
    </xf>
    <xf numFmtId="49" fontId="23" fillId="10" borderId="27" xfId="0" applyNumberFormat="1" applyFont="1" applyFill="1" applyBorder="1" applyAlignment="1">
      <alignment horizontal="center" vertical="center" textRotation="90" wrapText="1"/>
    </xf>
    <xf numFmtId="49" fontId="23" fillId="10" borderId="14" xfId="0" applyNumberFormat="1" applyFont="1" applyFill="1" applyBorder="1" applyAlignment="1">
      <alignment horizontal="center" vertical="center" textRotation="90" wrapText="1"/>
    </xf>
    <xf numFmtId="0" fontId="6" fillId="0" borderId="0" xfId="0" applyNumberFormat="1" applyFont="1" applyAlignment="1">
      <alignment horizontal="left" vertical="top" wrapText="1"/>
    </xf>
    <xf numFmtId="0" fontId="30" fillId="0" borderId="5" xfId="0" applyNumberFormat="1" applyFont="1" applyBorder="1" applyAlignment="1">
      <alignment horizontal="center" vertical="center" wrapText="1"/>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6" fillId="0" borderId="3" xfId="0" applyNumberFormat="1" applyFont="1" applyBorder="1" applyAlignment="1">
      <alignment horizontal="center" vertical="center"/>
    </xf>
    <xf numFmtId="0" fontId="6"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31" fillId="0" borderId="8" xfId="0" applyNumberFormat="1" applyFont="1" applyBorder="1" applyAlignment="1">
      <alignment horizontal="center" vertical="center" wrapText="1"/>
    </xf>
    <xf numFmtId="0" fontId="31" fillId="0" borderId="14" xfId="0" applyNumberFormat="1" applyFont="1" applyBorder="1" applyAlignment="1">
      <alignment horizontal="center" vertical="center" wrapText="1"/>
    </xf>
    <xf numFmtId="0" fontId="31" fillId="0" borderId="5" xfId="0" applyNumberFormat="1" applyFont="1" applyBorder="1" applyAlignment="1">
      <alignment horizontal="left" vertical="center" wrapText="1"/>
    </xf>
    <xf numFmtId="0" fontId="31" fillId="0" borderId="6" xfId="0" applyNumberFormat="1" applyFont="1" applyBorder="1" applyAlignment="1">
      <alignment horizontal="left" vertical="center" wrapText="1"/>
    </xf>
    <xf numFmtId="0" fontId="31" fillId="0" borderId="4" xfId="0" applyNumberFormat="1" applyFont="1" applyBorder="1" applyAlignment="1">
      <alignment horizontal="left" vertical="center" wrapText="1"/>
    </xf>
    <xf numFmtId="0" fontId="6" fillId="7" borderId="28" xfId="0" applyNumberFormat="1" applyFont="1" applyFill="1" applyBorder="1" applyAlignment="1">
      <alignment horizontal="left" vertical="center" wrapText="1"/>
    </xf>
    <xf numFmtId="0" fontId="6" fillId="7" borderId="10" xfId="0" applyNumberFormat="1" applyFont="1" applyFill="1" applyBorder="1" applyAlignment="1">
      <alignment horizontal="left" vertical="center" wrapText="1"/>
    </xf>
    <xf numFmtId="0" fontId="6" fillId="7" borderId="11" xfId="0" applyNumberFormat="1" applyFont="1" applyFill="1" applyBorder="1" applyAlignment="1">
      <alignment horizontal="left" vertical="center" wrapText="1"/>
    </xf>
    <xf numFmtId="0" fontId="6" fillId="7" borderId="3" xfId="0" applyNumberFormat="1" applyFont="1" applyFill="1" applyBorder="1" applyAlignment="1">
      <alignment horizontal="left" vertical="center" wrapText="1"/>
    </xf>
    <xf numFmtId="0" fontId="31" fillId="0" borderId="3" xfId="0" applyNumberFormat="1" applyFont="1" applyBorder="1" applyAlignment="1">
      <alignment horizontal="left" vertical="center" wrapText="1"/>
    </xf>
    <xf numFmtId="0" fontId="6"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6" fillId="13" borderId="11" xfId="0" applyNumberFormat="1" applyFont="1" applyFill="1" applyBorder="1" applyAlignment="1">
      <alignment horizontal="left" vertical="center" wrapText="1"/>
    </xf>
    <xf numFmtId="0" fontId="6" fillId="0" borderId="10" xfId="0" applyNumberFormat="1" applyFont="1" applyBorder="1" applyAlignment="1">
      <alignment horizontal="center" vertical="center" wrapText="1"/>
    </xf>
    <xf numFmtId="0" fontId="6"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20" fillId="0" borderId="3" xfId="0" applyNumberFormat="1" applyFont="1" applyBorder="1" applyAlignment="1">
      <alignment horizontal="center" vertical="center" wrapText="1"/>
    </xf>
    <xf numFmtId="49" fontId="6"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6" fillId="8" borderId="28" xfId="0" applyNumberFormat="1" applyFont="1" applyFill="1" applyBorder="1" applyAlignment="1">
      <alignment horizontal="center" vertical="center" wrapText="1"/>
    </xf>
    <xf numFmtId="0" fontId="6" fillId="8" borderId="13" xfId="0" applyNumberFormat="1" applyFont="1" applyFill="1" applyBorder="1" applyAlignment="1">
      <alignment horizontal="center" vertical="center" wrapText="1"/>
    </xf>
    <xf numFmtId="0" fontId="6" fillId="8" borderId="21" xfId="0" applyNumberFormat="1" applyFont="1" applyFill="1" applyBorder="1" applyAlignment="1">
      <alignment horizontal="center" vertical="center" wrapText="1"/>
    </xf>
    <xf numFmtId="0" fontId="6" fillId="12" borderId="3" xfId="0" applyNumberFormat="1" applyFont="1" applyFill="1" applyBorder="1" applyAlignment="1" applyProtection="1">
      <alignment horizontal="center" vertical="center" wrapText="1"/>
      <protection locked="0"/>
    </xf>
    <xf numFmtId="0" fontId="6" fillId="7" borderId="3" xfId="0" applyNumberFormat="1" applyFont="1" applyFill="1" applyBorder="1" applyAlignment="1">
      <alignment horizontal="center" vertical="center" wrapText="1"/>
    </xf>
    <xf numFmtId="0" fontId="6" fillId="8" borderId="8" xfId="0" applyNumberFormat="1" applyFont="1" applyFill="1" applyBorder="1" applyAlignment="1">
      <alignment horizontal="left" vertical="center" wrapText="1"/>
    </xf>
    <xf numFmtId="0" fontId="6" fillId="8" borderId="27" xfId="0" applyNumberFormat="1" applyFont="1" applyFill="1" applyBorder="1" applyAlignment="1">
      <alignment horizontal="left" vertical="center" wrapText="1"/>
    </xf>
    <xf numFmtId="0" fontId="6" fillId="8" borderId="14" xfId="0" applyNumberFormat="1" applyFont="1" applyFill="1" applyBorder="1" applyAlignment="1">
      <alignment horizontal="left" vertical="center" wrapText="1"/>
    </xf>
    <xf numFmtId="49" fontId="6" fillId="12" borderId="8" xfId="0" applyNumberFormat="1" applyFont="1" applyFill="1" applyBorder="1" applyAlignment="1" applyProtection="1">
      <alignment horizontal="left" vertical="center" wrapText="1" indent="6"/>
      <protection locked="0"/>
    </xf>
    <xf numFmtId="49" fontId="6" fillId="12" borderId="27" xfId="0" applyNumberFormat="1" applyFont="1" applyFill="1" applyBorder="1" applyAlignment="1" applyProtection="1">
      <alignment horizontal="left" vertical="center" wrapText="1" indent="6"/>
      <protection locked="0"/>
    </xf>
    <xf numFmtId="49" fontId="6" fillId="12" borderId="14" xfId="0" applyNumberFormat="1" applyFont="1" applyFill="1" applyBorder="1" applyAlignment="1" applyProtection="1">
      <alignment horizontal="left" vertical="center" wrapText="1" indent="6"/>
      <protection locked="0"/>
    </xf>
    <xf numFmtId="0" fontId="31" fillId="0" borderId="15" xfId="0" applyNumberFormat="1" applyFont="1" applyBorder="1" applyAlignment="1">
      <alignment horizontal="center" vertical="top" wrapText="1"/>
    </xf>
    <xf numFmtId="49" fontId="6"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top" wrapText="1"/>
    </xf>
    <xf numFmtId="0" fontId="6" fillId="9" borderId="5" xfId="0" applyNumberFormat="1" applyFont="1" applyFill="1" applyBorder="1" applyAlignment="1" applyProtection="1">
      <alignment horizontal="left" vertical="center" wrapText="1"/>
      <protection locked="0"/>
    </xf>
    <xf numFmtId="0" fontId="6" fillId="9" borderId="6" xfId="0" applyNumberFormat="1" applyFont="1" applyFill="1" applyBorder="1" applyAlignment="1" applyProtection="1">
      <alignment horizontal="left" vertical="center" wrapText="1"/>
      <protection locked="0"/>
    </xf>
    <xf numFmtId="0" fontId="6" fillId="9" borderId="4" xfId="0"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protection locked="0"/>
    </xf>
    <xf numFmtId="49" fontId="6" fillId="9" borderId="6" xfId="0" applyNumberFormat="1" applyFont="1" applyFill="1" applyBorder="1" applyAlignment="1" applyProtection="1">
      <alignment horizontal="left" vertical="center" wrapText="1"/>
      <protection locked="0"/>
    </xf>
    <xf numFmtId="49" fontId="6" fillId="9" borderId="4" xfId="0" applyNumberFormat="1" applyFont="1" applyFill="1" applyBorder="1" applyAlignment="1" applyProtection="1">
      <alignment horizontal="left" vertical="center" wrapText="1"/>
      <protection locked="0"/>
    </xf>
    <xf numFmtId="0" fontId="6" fillId="12" borderId="4" xfId="0" applyNumberFormat="1" applyFont="1" applyFill="1" applyBorder="1" applyAlignment="1" applyProtection="1">
      <alignment horizontal="center" vertical="center" wrapText="1"/>
      <protection locked="0"/>
    </xf>
    <xf numFmtId="4" fontId="6" fillId="12" borderId="3" xfId="0" applyNumberFormat="1" applyFont="1" applyFill="1" applyBorder="1" applyAlignment="1" applyProtection="1">
      <alignment horizontal="center" vertical="center" wrapText="1"/>
      <protection locked="0"/>
    </xf>
    <xf numFmtId="49" fontId="6" fillId="13" borderId="11" xfId="0" applyNumberFormat="1" applyFont="1" applyFill="1" applyBorder="1" applyAlignment="1">
      <alignment horizontal="center" vertical="center" wrapText="1"/>
    </xf>
    <xf numFmtId="49" fontId="6" fillId="13" borderId="20" xfId="0" applyNumberFormat="1" applyFont="1" applyFill="1" applyBorder="1" applyAlignment="1">
      <alignment horizontal="center" vertical="center" wrapText="1"/>
    </xf>
    <xf numFmtId="49" fontId="6" fillId="9" borderId="8" xfId="0" applyNumberFormat="1" applyFont="1" applyFill="1" applyBorder="1" applyAlignment="1" applyProtection="1">
      <alignment horizontal="left" vertical="center" wrapText="1" indent="6"/>
      <protection locked="0"/>
    </xf>
    <xf numFmtId="49" fontId="6" fillId="9" borderId="27" xfId="0" applyNumberFormat="1" applyFont="1" applyFill="1" applyBorder="1" applyAlignment="1" applyProtection="1">
      <alignment horizontal="left" vertical="center" wrapText="1" indent="6"/>
      <protection locked="0"/>
    </xf>
    <xf numFmtId="49" fontId="6" fillId="9" borderId="14" xfId="0" applyNumberFormat="1" applyFont="1" applyFill="1" applyBorder="1" applyAlignment="1" applyProtection="1">
      <alignment horizontal="left" vertical="center" wrapText="1" indent="6"/>
      <protection locked="0"/>
    </xf>
    <xf numFmtId="4" fontId="6" fillId="12" borderId="3" xfId="0" applyNumberFormat="1" applyFont="1" applyFill="1" applyBorder="1" applyAlignment="1" applyProtection="1">
      <alignment horizontal="left" vertical="center" wrapText="1" indent="1"/>
      <protection locked="0"/>
    </xf>
    <xf numFmtId="0" fontId="31" fillId="0" borderId="10" xfId="0" applyNumberFormat="1" applyFont="1" applyBorder="1" applyAlignment="1">
      <alignment horizontal="left" vertical="center" wrapText="1"/>
    </xf>
    <xf numFmtId="49" fontId="6" fillId="8" borderId="3" xfId="11" applyNumberFormat="1" applyFont="1" applyFill="1" applyBorder="1" applyAlignment="1">
      <alignment horizontal="center" vertical="center" wrapText="1"/>
    </xf>
    <xf numFmtId="0" fontId="6" fillId="0" borderId="6" xfId="0" applyNumberFormat="1" applyFont="1" applyBorder="1" applyAlignment="1">
      <alignment horizontal="right" vertical="center" wrapText="1" indent="1"/>
    </xf>
    <xf numFmtId="0" fontId="6" fillId="0" borderId="4" xfId="0" applyNumberFormat="1" applyFont="1" applyBorder="1" applyAlignment="1">
      <alignment horizontal="right" vertical="center" wrapText="1" indent="1"/>
    </xf>
    <xf numFmtId="0" fontId="6" fillId="0" borderId="5" xfId="0" applyNumberFormat="1" applyFont="1" applyBorder="1" applyAlignment="1">
      <alignment horizontal="right" vertical="center" wrapText="1"/>
    </xf>
    <xf numFmtId="0" fontId="6" fillId="0" borderId="6" xfId="0" applyNumberFormat="1" applyFont="1" applyBorder="1" applyAlignment="1">
      <alignment horizontal="right" vertical="center" wrapText="1"/>
    </xf>
    <xf numFmtId="49" fontId="74" fillId="19" borderId="0" xfId="0" applyNumberFormat="1" applyFont="1" applyFill="1" applyAlignment="1">
      <alignment horizontal="center" vertical="center" textRotation="90" wrapText="1"/>
    </xf>
    <xf numFmtId="0" fontId="55" fillId="0" borderId="0" xfId="0" applyNumberFormat="1" applyFont="1" applyAlignment="1">
      <alignment horizontal="center" vertical="center" wrapText="1"/>
    </xf>
    <xf numFmtId="0" fontId="30" fillId="0" borderId="0" xfId="0" applyNumberFormat="1" applyFont="1" applyAlignment="1">
      <alignment horizontal="center" vertical="top"/>
    </xf>
    <xf numFmtId="0" fontId="6"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31" fillId="0" borderId="8" xfId="0" applyNumberFormat="1" applyFont="1" applyBorder="1" applyAlignment="1">
      <alignment horizontal="center" vertical="center" wrapText="1"/>
    </xf>
    <xf numFmtId="49" fontId="31" fillId="0" borderId="27" xfId="0" applyNumberFormat="1" applyFont="1" applyBorder="1" applyAlignment="1">
      <alignment horizontal="center" vertical="center" wrapText="1"/>
    </xf>
    <xf numFmtId="49" fontId="31"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8" fillId="0" borderId="0" xfId="0" applyNumberFormat="1" applyFont="1" applyAlignment="1">
      <alignment horizontal="left" vertical="top" wrapText="1"/>
    </xf>
    <xf numFmtId="0" fontId="6" fillId="8" borderId="5" xfId="0" applyNumberFormat="1" applyFont="1" applyFill="1" applyBorder="1" applyAlignment="1">
      <alignment horizontal="center" vertical="center" wrapText="1"/>
    </xf>
    <xf numFmtId="0" fontId="6" fillId="8" borderId="6" xfId="0" applyNumberFormat="1" applyFont="1" applyFill="1" applyBorder="1" applyAlignment="1">
      <alignment horizontal="center" vertical="center" wrapText="1"/>
    </xf>
    <xf numFmtId="0" fontId="6" fillId="8" borderId="11" xfId="0" applyNumberFormat="1" applyFont="1" applyFill="1" applyBorder="1" applyAlignment="1">
      <alignment horizontal="center" vertical="center" wrapText="1"/>
    </xf>
    <xf numFmtId="0" fontId="6" fillId="8" borderId="3" xfId="0" applyNumberFormat="1" applyFont="1" applyFill="1" applyBorder="1" applyAlignment="1">
      <alignment horizontal="center" vertical="center"/>
    </xf>
    <xf numFmtId="0" fontId="31" fillId="0" borderId="6" xfId="0" applyNumberFormat="1" applyFont="1" applyBorder="1" applyAlignment="1">
      <alignment horizontal="right" vertical="center" wrapText="1" indent="1"/>
    </xf>
    <xf numFmtId="0" fontId="31" fillId="0" borderId="4" xfId="0" applyNumberFormat="1" applyFont="1" applyBorder="1" applyAlignment="1">
      <alignment horizontal="right" vertical="center" wrapText="1" indent="1"/>
    </xf>
    <xf numFmtId="49" fontId="6" fillId="30" borderId="0" xfId="0" applyNumberFormat="1" applyFont="1" applyFill="1" applyAlignment="1">
      <alignment horizontal="center" vertical="center" textRotation="90" wrapText="1"/>
    </xf>
    <xf numFmtId="0" fontId="6" fillId="7" borderId="5" xfId="0" applyNumberFormat="1" applyFont="1" applyFill="1" applyBorder="1" applyAlignment="1">
      <alignment horizontal="left" vertical="top" wrapText="1"/>
    </xf>
    <xf numFmtId="0" fontId="6" fillId="7" borderId="4" xfId="0" applyNumberFormat="1" applyFont="1" applyFill="1" applyBorder="1" applyAlignment="1">
      <alignment horizontal="left" vertical="top" wrapText="1"/>
    </xf>
    <xf numFmtId="0" fontId="6" fillId="7" borderId="5" xfId="0" applyNumberFormat="1" applyFont="1" applyFill="1" applyBorder="1" applyAlignment="1">
      <alignment horizontal="left" vertical="top" wrapText="1" indent="1"/>
    </xf>
    <xf numFmtId="0" fontId="6" fillId="7" borderId="4" xfId="0" applyNumberFormat="1" applyFont="1" applyFill="1" applyBorder="1" applyAlignment="1">
      <alignment horizontal="left" vertical="top" wrapText="1" indent="1"/>
    </xf>
    <xf numFmtId="49" fontId="6" fillId="0" borderId="0" xfId="0" applyNumberFormat="1" applyFont="1" applyAlignment="1">
      <alignment vertical="center" wrapText="1"/>
    </xf>
    <xf numFmtId="0" fontId="19"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6" fillId="0" borderId="3" xfId="0" applyNumberFormat="1" applyFont="1" applyBorder="1" applyAlignment="1">
      <alignment horizontal="left" vertical="center" wrapText="1"/>
    </xf>
    <xf numFmtId="49" fontId="6" fillId="0" borderId="5" xfId="0" applyNumberFormat="1" applyFont="1" applyBorder="1" applyAlignment="1">
      <alignment horizontal="center" vertical="center" wrapText="1"/>
    </xf>
    <xf numFmtId="49" fontId="31" fillId="0" borderId="3" xfId="0" applyNumberFormat="1" applyFont="1" applyBorder="1" applyAlignment="1">
      <alignment horizontal="center" vertical="center" wrapText="1"/>
    </xf>
    <xf numFmtId="0" fontId="6" fillId="0" borderId="0" xfId="0" applyNumberFormat="1" applyFont="1" applyAlignment="1">
      <alignment horizontal="left" vertical="center" wrapText="1"/>
    </xf>
    <xf numFmtId="0" fontId="6" fillId="8" borderId="20" xfId="0" applyNumberFormat="1" applyFont="1" applyFill="1" applyBorder="1" applyAlignment="1">
      <alignment horizontal="center" vertical="center" wrapText="1"/>
    </xf>
    <xf numFmtId="0" fontId="6" fillId="0" borderId="51" xfId="0" applyNumberFormat="1" applyFont="1" applyBorder="1" applyAlignment="1">
      <alignment horizontal="center" vertical="center"/>
    </xf>
    <xf numFmtId="0" fontId="6" fillId="0" borderId="52" xfId="0" applyNumberFormat="1" applyFont="1" applyBorder="1" applyAlignment="1">
      <alignment horizontal="center" vertical="center"/>
    </xf>
    <xf numFmtId="0" fontId="6" fillId="0" borderId="58" xfId="0" applyNumberFormat="1" applyFont="1" applyBorder="1" applyAlignment="1">
      <alignment horizontal="center" vertical="center"/>
    </xf>
    <xf numFmtId="0" fontId="6" fillId="0" borderId="64" xfId="0" applyNumberFormat="1" applyFont="1" applyBorder="1" applyAlignment="1">
      <alignment horizontal="center" vertical="center"/>
    </xf>
    <xf numFmtId="0" fontId="6"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6" fillId="0" borderId="6"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0" fontId="6" fillId="0" borderId="11" xfId="0" applyNumberFormat="1" applyFont="1" applyBorder="1" applyAlignment="1">
      <alignment horizontal="left" vertical="top" wrapText="1"/>
    </xf>
    <xf numFmtId="0" fontId="6" fillId="8" borderId="4" xfId="0" applyNumberFormat="1" applyFont="1" applyFill="1" applyBorder="1" applyAlignment="1">
      <alignment horizontal="center" vertical="center" wrapText="1"/>
    </xf>
    <xf numFmtId="0" fontId="6" fillId="14" borderId="3" xfId="0" applyNumberFormat="1" applyFont="1" applyFill="1" applyBorder="1" applyAlignment="1">
      <alignment horizontal="center" vertical="center" wrapText="1"/>
    </xf>
    <xf numFmtId="0" fontId="6" fillId="14" borderId="4" xfId="0" applyNumberFormat="1" applyFont="1" applyFill="1" applyBorder="1" applyAlignment="1">
      <alignment horizontal="center" vertical="center" wrapText="1"/>
    </xf>
    <xf numFmtId="49" fontId="6" fillId="14" borderId="3" xfId="0" applyNumberFormat="1" applyFont="1" applyFill="1" applyBorder="1" applyAlignment="1">
      <alignment horizontal="center" vertical="center" wrapText="1"/>
    </xf>
    <xf numFmtId="49" fontId="30" fillId="20" borderId="5" xfId="0" applyNumberFormat="1" applyFont="1" applyFill="1" applyBorder="1" applyAlignment="1">
      <alignment horizontal="center" vertical="center" wrapText="1"/>
    </xf>
    <xf numFmtId="49" fontId="30" fillId="20" borderId="6" xfId="0" applyNumberFormat="1" applyFont="1" applyFill="1" applyBorder="1" applyAlignment="1">
      <alignment horizontal="center" vertical="center" wrapText="1"/>
    </xf>
    <xf numFmtId="49" fontId="30" fillId="20" borderId="4" xfId="0" applyNumberFormat="1" applyFont="1" applyFill="1" applyBorder="1" applyAlignment="1">
      <alignment horizontal="center" vertical="center" wrapText="1"/>
    </xf>
    <xf numFmtId="49" fontId="30" fillId="23" borderId="5" xfId="0" applyNumberFormat="1" applyFont="1" applyFill="1" applyBorder="1" applyAlignment="1">
      <alignment horizontal="center" vertical="center" wrapText="1"/>
    </xf>
    <xf numFmtId="49" fontId="30" fillId="23" borderId="6" xfId="0" applyNumberFormat="1" applyFont="1" applyFill="1" applyBorder="1" applyAlignment="1">
      <alignment horizontal="center" vertical="center" wrapText="1"/>
    </xf>
    <xf numFmtId="49" fontId="30" fillId="23" borderId="4" xfId="0" applyNumberFormat="1" applyFont="1" applyFill="1" applyBorder="1" applyAlignment="1">
      <alignment horizontal="center" vertical="center" wrapText="1"/>
    </xf>
    <xf numFmtId="49" fontId="6" fillId="24" borderId="5" xfId="0" applyNumberFormat="1" applyFont="1" applyFill="1" applyBorder="1" applyAlignment="1">
      <alignment horizontal="center" vertical="center" wrapText="1"/>
    </xf>
    <xf numFmtId="49" fontId="6" fillId="24" borderId="6" xfId="0" applyNumberFormat="1" applyFont="1" applyFill="1" applyBorder="1" applyAlignment="1">
      <alignment horizontal="center" vertical="center" wrapText="1"/>
    </xf>
    <xf numFmtId="49" fontId="6" fillId="14" borderId="10" xfId="0" applyNumberFormat="1" applyFont="1" applyFill="1" applyBorder="1" applyAlignment="1">
      <alignment horizontal="center" vertical="center" wrapText="1"/>
    </xf>
    <xf numFmtId="49" fontId="6" fillId="14" borderId="0" xfId="0" applyNumberFormat="1" applyFont="1" applyFill="1" applyAlignment="1">
      <alignment horizontal="center" vertical="center" wrapText="1"/>
    </xf>
    <xf numFmtId="49" fontId="6" fillId="14" borderId="18" xfId="0" applyNumberFormat="1" applyFont="1" applyFill="1" applyBorder="1" applyAlignment="1">
      <alignment horizontal="center" vertical="center" wrapText="1"/>
    </xf>
    <xf numFmtId="0" fontId="6" fillId="22" borderId="5" xfId="0" applyNumberFormat="1" applyFont="1" applyFill="1" applyBorder="1" applyAlignment="1">
      <alignment horizontal="center" vertical="center" wrapText="1"/>
    </xf>
    <xf numFmtId="0" fontId="6" fillId="22" borderId="6" xfId="0" applyNumberFormat="1" applyFont="1" applyFill="1" applyBorder="1" applyAlignment="1">
      <alignment horizontal="center" vertical="center" wrapText="1"/>
    </xf>
    <xf numFmtId="0" fontId="6" fillId="22" borderId="4" xfId="0" applyNumberFormat="1" applyFont="1" applyFill="1" applyBorder="1" applyAlignment="1">
      <alignment horizontal="center" vertical="center" wrapText="1"/>
    </xf>
    <xf numFmtId="0" fontId="6"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6" fillId="0" borderId="27" xfId="0" applyNumberFormat="1" applyFont="1" applyBorder="1" applyAlignment="1">
      <alignment vertical="center" wrapText="1"/>
    </xf>
    <xf numFmtId="0" fontId="22" fillId="8" borderId="15" xfId="0" applyNumberFormat="1" applyFont="1" applyFill="1" applyBorder="1" applyAlignment="1">
      <alignment horizontal="center" vertical="top" wrapText="1"/>
    </xf>
    <xf numFmtId="0" fontId="22" fillId="0" borderId="0" xfId="0" applyNumberFormat="1" applyFont="1" applyAlignment="1">
      <alignment vertical="center"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6" fillId="0" borderId="6" xfId="0" applyNumberFormat="1" applyFont="1" applyBorder="1" applyAlignment="1">
      <alignment horizontal="left" vertical="top" wrapText="1" indent="1"/>
    </xf>
    <xf numFmtId="0" fontId="22" fillId="8" borderId="0" xfId="0" applyNumberFormat="1" applyFont="1" applyFill="1" applyAlignment="1">
      <alignment horizontal="center" vertical="top" wrapText="1"/>
    </xf>
    <xf numFmtId="49" fontId="19"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6" fillId="0" borderId="8" xfId="0" applyNumberFormat="1" applyFont="1" applyBorder="1" applyAlignment="1">
      <alignment horizontal="center" vertical="center" wrapText="1"/>
    </xf>
    <xf numFmtId="4" fontId="6" fillId="0" borderId="14" xfId="0" applyNumberFormat="1" applyFont="1" applyBorder="1" applyAlignment="1">
      <alignment horizontal="center" vertical="center" wrapText="1"/>
    </xf>
    <xf numFmtId="4" fontId="6" fillId="0" borderId="27" xfId="0" applyNumberFormat="1" applyFont="1" applyBorder="1" applyAlignment="1">
      <alignment horizontal="center" vertical="center" wrapText="1"/>
    </xf>
    <xf numFmtId="0" fontId="6" fillId="0" borderId="20" xfId="0" applyNumberFormat="1" applyFont="1" applyBorder="1" applyAlignment="1">
      <alignment horizontal="left" vertical="top" wrapText="1"/>
    </xf>
    <xf numFmtId="164" fontId="6" fillId="0" borderId="8" xfId="0" applyNumberFormat="1" applyFont="1" applyBorder="1" applyAlignment="1">
      <alignment horizontal="center" vertical="center" wrapText="1"/>
    </xf>
    <xf numFmtId="164" fontId="6" fillId="0" borderId="14" xfId="0" applyNumberFormat="1" applyFont="1" applyBorder="1" applyAlignment="1">
      <alignment horizontal="center" vertical="center" wrapText="1"/>
    </xf>
    <xf numFmtId="164" fontId="6" fillId="0" borderId="5" xfId="0" applyNumberFormat="1" applyFont="1" applyBorder="1" applyAlignment="1">
      <alignment horizontal="center" vertical="center" wrapText="1"/>
    </xf>
    <xf numFmtId="164" fontId="6" fillId="0" borderId="6" xfId="0" applyNumberFormat="1" applyFont="1" applyBorder="1" applyAlignment="1">
      <alignment horizontal="center" vertical="center" wrapText="1"/>
    </xf>
    <xf numFmtId="164" fontId="6" fillId="0" borderId="4" xfId="0" applyNumberFormat="1" applyFont="1" applyBorder="1" applyAlignment="1">
      <alignment horizontal="center" vertical="center" wrapText="1"/>
    </xf>
    <xf numFmtId="14" fontId="6" fillId="13" borderId="3" xfId="0" applyNumberFormat="1" applyFont="1" applyFill="1" applyBorder="1" applyAlignment="1">
      <alignment horizontal="left" vertical="center" wrapText="1"/>
    </xf>
    <xf numFmtId="49" fontId="6" fillId="13" borderId="5" xfId="0" applyNumberFormat="1" applyFont="1" applyFill="1" applyBorder="1" applyAlignment="1">
      <alignment horizontal="left" vertical="center" wrapText="1"/>
    </xf>
    <xf numFmtId="49" fontId="6" fillId="13" borderId="3" xfId="0" applyNumberFormat="1" applyFont="1" applyFill="1" applyBorder="1" applyAlignment="1">
      <alignment horizontal="left" vertical="center" wrapText="1"/>
    </xf>
    <xf numFmtId="0" fontId="6" fillId="7" borderId="20" xfId="0" applyNumberFormat="1" applyFont="1" applyFill="1" applyBorder="1" applyAlignment="1">
      <alignment horizontal="left" vertical="center" wrapText="1"/>
    </xf>
    <xf numFmtId="14" fontId="6" fillId="13" borderId="14" xfId="0" applyNumberFormat="1" applyFont="1" applyFill="1" applyBorder="1" applyAlignment="1">
      <alignment horizontal="left" vertical="center" wrapText="1"/>
    </xf>
    <xf numFmtId="49" fontId="6" fillId="0" borderId="3" xfId="0" applyNumberFormat="1" applyFont="1" applyBorder="1" applyAlignment="1">
      <alignment horizontal="left" vertical="top" wrapText="1"/>
    </xf>
    <xf numFmtId="49" fontId="110" fillId="0" borderId="3" xfId="0" applyNumberFormat="1" applyFont="1" applyBorder="1" applyAlignment="1">
      <alignment horizontal="left" vertical="top" wrapText="1"/>
    </xf>
    <xf numFmtId="0" fontId="6" fillId="0" borderId="6" xfId="0" applyNumberFormat="1" applyFont="1" applyBorder="1" applyAlignment="1">
      <alignment horizontal="left" vertical="center" wrapText="1"/>
    </xf>
    <xf numFmtId="164" fontId="6" fillId="0" borderId="27" xfId="0" applyNumberFormat="1" applyFont="1" applyBorder="1" applyAlignment="1">
      <alignment horizontal="center" vertical="center" wrapText="1"/>
    </xf>
    <xf numFmtId="164" fontId="6" fillId="0" borderId="3" xfId="0" applyNumberFormat="1" applyFont="1" applyBorder="1" applyAlignment="1">
      <alignment horizontal="center" vertical="center" wrapText="1"/>
    </xf>
    <xf numFmtId="164" fontId="28" fillId="0" borderId="10" xfId="0" applyNumberFormat="1" applyFont="1" applyBorder="1" applyAlignment="1">
      <alignment horizontal="center" vertical="center" wrapText="1"/>
    </xf>
    <xf numFmtId="49" fontId="6" fillId="13" borderId="21" xfId="0" applyNumberFormat="1" applyFont="1" applyFill="1" applyBorder="1" applyAlignment="1">
      <alignment horizontal="left" vertical="center" wrapText="1"/>
    </xf>
    <xf numFmtId="49" fontId="6" fillId="13" borderId="14" xfId="0" applyNumberFormat="1" applyFont="1" applyFill="1" applyBorder="1" applyAlignment="1">
      <alignment horizontal="left" vertical="center" wrapText="1"/>
    </xf>
    <xf numFmtId="49" fontId="6" fillId="0" borderId="0" xfId="0" applyNumberFormat="1" applyFont="1" applyAlignment="1">
      <alignment horizontal="left" vertical="top" wrapText="1"/>
    </xf>
    <xf numFmtId="0" fontId="6" fillId="0" borderId="4" xfId="0" applyNumberFormat="1" applyFont="1" applyBorder="1" applyAlignment="1">
      <alignment horizontal="left" vertical="center" wrapText="1" indent="1"/>
    </xf>
    <xf numFmtId="0" fontId="6"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6" fillId="12" borderId="3" xfId="0" applyNumberFormat="1" applyFont="1" applyFill="1" applyBorder="1" applyAlignment="1" applyProtection="1">
      <alignment horizontal="center" vertical="center" wrapText="1"/>
      <protection locked="0"/>
    </xf>
    <xf numFmtId="49" fontId="6" fillId="13" borderId="5" xfId="0" applyNumberFormat="1" applyFont="1" applyFill="1" applyBorder="1" applyAlignment="1">
      <alignment horizontal="center" vertical="center" wrapText="1"/>
    </xf>
    <xf numFmtId="49" fontId="106" fillId="0" borderId="3" xfId="0" applyNumberFormat="1" applyFont="1" applyBorder="1" applyAlignment="1">
      <alignment horizontal="center" vertical="center" wrapText="1"/>
    </xf>
    <xf numFmtId="0" fontId="28" fillId="0" borderId="4" xfId="0" applyNumberFormat="1" applyFont="1" applyBorder="1" applyAlignment="1">
      <alignment horizontal="center" vertical="center"/>
    </xf>
    <xf numFmtId="49" fontId="6" fillId="13" borderId="8" xfId="0" applyNumberFormat="1" applyFont="1" applyFill="1" applyBorder="1" applyAlignment="1">
      <alignment horizontal="left" vertical="center" wrapText="1" indent="1"/>
    </xf>
    <xf numFmtId="49" fontId="6" fillId="13" borderId="27" xfId="0" applyNumberFormat="1" applyFont="1" applyFill="1" applyBorder="1" applyAlignment="1">
      <alignment horizontal="left" vertical="center" wrapText="1" indent="1"/>
    </xf>
    <xf numFmtId="49" fontId="6" fillId="13" borderId="14" xfId="0" applyNumberFormat="1" applyFont="1" applyFill="1" applyBorder="1" applyAlignment="1">
      <alignment horizontal="left" vertical="center" wrapText="1" indent="1"/>
    </xf>
    <xf numFmtId="49" fontId="6" fillId="7" borderId="3" xfId="0" applyNumberFormat="1" applyFont="1" applyFill="1" applyBorder="1" applyAlignment="1">
      <alignment horizontal="left" vertical="center" wrapText="1"/>
    </xf>
    <xf numFmtId="49" fontId="6" fillId="13" borderId="4" xfId="0" applyNumberFormat="1" applyFont="1" applyFill="1" applyBorder="1" applyAlignment="1">
      <alignment horizontal="left" vertical="center" wrapText="1"/>
    </xf>
    <xf numFmtId="49" fontId="6" fillId="12" borderId="3" xfId="0" applyNumberFormat="1" applyFont="1" applyFill="1" applyBorder="1" applyAlignment="1" applyProtection="1">
      <alignment horizontal="left" vertical="center" wrapText="1"/>
      <protection locked="0"/>
    </xf>
    <xf numFmtId="0" fontId="23" fillId="10" borderId="6" xfId="0" applyNumberFormat="1" applyFont="1" applyFill="1" applyBorder="1" applyAlignment="1">
      <alignment horizontal="left" vertical="center"/>
    </xf>
    <xf numFmtId="0" fontId="23" fillId="10" borderId="4" xfId="0" applyNumberFormat="1" applyFont="1" applyFill="1" applyBorder="1" applyAlignment="1">
      <alignment horizontal="left" vertical="center"/>
    </xf>
    <xf numFmtId="0" fontId="23" fillId="10" borderId="10" xfId="0" applyNumberFormat="1" applyFont="1" applyFill="1" applyBorder="1" applyAlignment="1">
      <alignment horizontal="left" vertical="center"/>
    </xf>
    <xf numFmtId="0" fontId="23" fillId="10" borderId="11" xfId="0" applyNumberFormat="1" applyFont="1" applyFill="1" applyBorder="1" applyAlignment="1">
      <alignment horizontal="left" vertical="center"/>
    </xf>
    <xf numFmtId="49" fontId="6" fillId="12" borderId="8" xfId="0" applyNumberFormat="1" applyFont="1" applyFill="1" applyBorder="1" applyAlignment="1" applyProtection="1">
      <alignment horizontal="left" vertical="center" wrapText="1"/>
      <protection locked="0"/>
    </xf>
    <xf numFmtId="49" fontId="6" fillId="0" borderId="27" xfId="0" applyNumberFormat="1" applyFont="1" applyBorder="1" applyAlignment="1">
      <alignment horizontal="center" vertical="center"/>
    </xf>
    <xf numFmtId="0" fontId="6" fillId="13" borderId="8" xfId="0" applyNumberFormat="1" applyFont="1" applyFill="1" applyBorder="1" applyAlignment="1">
      <alignment horizontal="left" vertical="center" wrapText="1"/>
    </xf>
    <xf numFmtId="0" fontId="6" fillId="13" borderId="27" xfId="0" applyNumberFormat="1" applyFont="1" applyFill="1" applyBorder="1" applyAlignment="1">
      <alignment horizontal="left" vertical="center" wrapText="1"/>
    </xf>
    <xf numFmtId="49" fontId="6" fillId="13" borderId="8" xfId="0" applyNumberFormat="1" applyFont="1" applyFill="1" applyBorder="1" applyAlignment="1">
      <alignment horizontal="left" vertical="center" wrapText="1"/>
    </xf>
    <xf numFmtId="0" fontId="6" fillId="0" borderId="15" xfId="0" applyNumberFormat="1" applyFont="1" applyBorder="1" applyAlignment="1">
      <alignment horizontal="center" vertical="center"/>
    </xf>
    <xf numFmtId="49" fontId="6" fillId="9" borderId="8" xfId="0" applyNumberFormat="1" applyFont="1" applyFill="1" applyBorder="1" applyAlignment="1" applyProtection="1">
      <alignment horizontal="left" vertical="center" wrapText="1"/>
      <protection locked="0"/>
    </xf>
    <xf numFmtId="49" fontId="30" fillId="0" borderId="5" xfId="0" applyNumberFormat="1" applyFont="1" applyBorder="1" applyAlignment="1">
      <alignment horizontal="center" vertical="center" wrapText="1"/>
    </xf>
    <xf numFmtId="49" fontId="23" fillId="10" borderId="42" xfId="0" applyNumberFormat="1" applyFont="1" applyFill="1" applyBorder="1" applyAlignment="1">
      <alignment horizontal="left" vertical="center" indent="1"/>
    </xf>
    <xf numFmtId="49" fontId="6" fillId="7" borderId="3" xfId="0" applyNumberFormat="1" applyFont="1" applyFill="1" applyBorder="1" applyAlignment="1">
      <alignment horizontal="center" vertical="center" wrapText="1"/>
    </xf>
    <xf numFmtId="49" fontId="6" fillId="7" borderId="65" xfId="0" applyNumberFormat="1" applyFont="1" applyFill="1" applyBorder="1" applyAlignment="1">
      <alignment horizontal="center" vertical="center" wrapText="1"/>
    </xf>
    <xf numFmtId="3" fontId="30" fillId="0" borderId="3" xfId="0" applyNumberFormat="1" applyFont="1" applyBorder="1" applyAlignment="1">
      <alignment horizontal="center" vertical="center" wrapText="1"/>
    </xf>
    <xf numFmtId="49" fontId="30" fillId="0" borderId="3" xfId="0" applyNumberFormat="1" applyFont="1" applyBorder="1" applyAlignment="1">
      <alignment horizontal="left" vertical="center" wrapText="1"/>
    </xf>
    <xf numFmtId="49" fontId="30" fillId="0" borderId="4" xfId="0" applyNumberFormat="1" applyFont="1" applyBorder="1" applyAlignment="1">
      <alignment horizontal="center" vertical="center" wrapText="1"/>
    </xf>
    <xf numFmtId="49" fontId="30" fillId="0" borderId="4" xfId="0" applyNumberFormat="1" applyFont="1" applyBorder="1" applyAlignment="1">
      <alignment horizontal="left" vertical="center" wrapText="1"/>
    </xf>
    <xf numFmtId="49" fontId="108" fillId="0" borderId="4" xfId="0" applyNumberFormat="1" applyFont="1" applyBorder="1" applyAlignment="1">
      <alignment horizontal="center" vertical="center" wrapText="1"/>
    </xf>
    <xf numFmtId="0" fontId="77" fillId="0" borderId="3" xfId="0" applyNumberFormat="1" applyFont="1" applyBorder="1" applyAlignment="1">
      <alignment horizontal="center" vertical="center"/>
    </xf>
    <xf numFmtId="49" fontId="6" fillId="13" borderId="3" xfId="0" applyNumberFormat="1" applyFont="1" applyFill="1" applyBorder="1" applyAlignment="1">
      <alignment horizontal="center" vertical="top" wrapText="1"/>
    </xf>
    <xf numFmtId="49" fontId="6" fillId="13" borderId="5" xfId="0" applyNumberFormat="1" applyFont="1" applyFill="1" applyBorder="1" applyAlignment="1">
      <alignment horizontal="center" vertical="top" wrapText="1"/>
    </xf>
    <xf numFmtId="0" fontId="6" fillId="9" borderId="3" xfId="0" applyNumberFormat="1" applyFont="1" applyFill="1" applyBorder="1" applyAlignment="1" applyProtection="1">
      <alignment horizontal="left"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6"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6" fillId="7" borderId="3" xfId="0" applyNumberFormat="1" applyFont="1" applyFill="1" applyBorder="1" applyAlignment="1">
      <alignment horizontal="center" vertical="top" wrapText="1"/>
    </xf>
    <xf numFmtId="14" fontId="64" fillId="0" borderId="8" xfId="0" applyNumberFormat="1" applyFont="1" applyBorder="1" applyAlignment="1">
      <alignment horizontal="center" vertical="center" wrapText="1"/>
    </xf>
    <xf numFmtId="14" fontId="64" fillId="0" borderId="27" xfId="0" applyNumberFormat="1" applyFont="1" applyBorder="1" applyAlignment="1">
      <alignment horizontal="center" vertical="center" wrapText="1"/>
    </xf>
    <xf numFmtId="0" fontId="58" fillId="0" borderId="3" xfId="0" applyNumberFormat="1" applyFont="1" applyBorder="1" applyAlignment="1">
      <alignment horizontal="left" vertical="center" wrapText="1" indent="1"/>
    </xf>
    <xf numFmtId="0" fontId="58" fillId="0" borderId="3" xfId="0" applyNumberFormat="1" applyFont="1" applyBorder="1" applyAlignment="1">
      <alignment horizontal="left" vertical="top" indent="1"/>
    </xf>
    <xf numFmtId="0" fontId="19" fillId="0" borderId="3" xfId="0" applyNumberFormat="1" applyFont="1" applyBorder="1" applyAlignment="1">
      <alignment horizontal="center" vertical="center" wrapText="1"/>
    </xf>
    <xf numFmtId="0" fontId="6"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20" fillId="0" borderId="8" xfId="0" applyNumberFormat="1" applyFont="1" applyBorder="1" applyAlignment="1">
      <alignment horizontal="center" vertical="top" wrapText="1"/>
    </xf>
    <xf numFmtId="49" fontId="6" fillId="0" borderId="27" xfId="0" applyNumberFormat="1" applyFont="1" applyBorder="1" applyAlignment="1">
      <alignment horizontal="center" vertical="top" wrapText="1"/>
    </xf>
    <xf numFmtId="49" fontId="6" fillId="0" borderId="14" xfId="0" applyNumberFormat="1" applyFont="1" applyBorder="1" applyAlignment="1">
      <alignment horizontal="center" vertical="top" wrapText="1"/>
    </xf>
    <xf numFmtId="49" fontId="6" fillId="12" borderId="5" xfId="0" applyNumberFormat="1" applyFont="1" applyFill="1" applyBorder="1" applyAlignment="1" applyProtection="1">
      <alignment horizontal="left" vertical="center" wrapText="1" indent="1"/>
      <protection locked="0"/>
    </xf>
    <xf numFmtId="49" fontId="6" fillId="12" borderId="3" xfId="0" applyNumberFormat="1" applyFont="1" applyFill="1" applyBorder="1" applyAlignment="1" applyProtection="1">
      <alignment horizontal="left" vertical="center" wrapText="1" indent="1"/>
      <protection locked="0"/>
    </xf>
    <xf numFmtId="49" fontId="6" fillId="0" borderId="8" xfId="0" applyNumberFormat="1" applyFont="1" applyBorder="1" applyAlignment="1">
      <alignment horizontal="center" vertical="center" wrapText="1"/>
    </xf>
    <xf numFmtId="49" fontId="6" fillId="0" borderId="27" xfId="0" applyNumberFormat="1" applyFont="1" applyBorder="1" applyAlignment="1">
      <alignment horizontal="center" vertical="center" wrapText="1"/>
    </xf>
    <xf numFmtId="49" fontId="6" fillId="0" borderId="14" xfId="0" applyNumberFormat="1" applyFont="1" applyBorder="1" applyAlignment="1">
      <alignment horizontal="center" vertical="center" wrapText="1"/>
    </xf>
    <xf numFmtId="49" fontId="6"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6" fillId="13" borderId="8" xfId="0" applyNumberFormat="1" applyFont="1" applyFill="1" applyBorder="1" applyAlignment="1">
      <alignment horizontal="center" vertical="top" wrapText="1"/>
    </xf>
    <xf numFmtId="49" fontId="6"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6" fillId="13" borderId="3" xfId="0" applyNumberFormat="1" applyFont="1" applyFill="1" applyBorder="1" applyAlignment="1">
      <alignment horizontal="left" vertical="top" wrapText="1"/>
    </xf>
    <xf numFmtId="49" fontId="30" fillId="0" borderId="8" xfId="0" applyNumberFormat="1" applyFont="1" applyBorder="1" applyAlignment="1">
      <alignment horizontal="left" vertical="center" wrapText="1" indent="1"/>
    </xf>
    <xf numFmtId="49" fontId="30" fillId="0" borderId="27" xfId="0" applyNumberFormat="1" applyFont="1" applyBorder="1" applyAlignment="1">
      <alignment horizontal="left" vertical="center" wrapText="1" indent="1"/>
    </xf>
    <xf numFmtId="49" fontId="30" fillId="0" borderId="14" xfId="0" applyNumberFormat="1" applyFont="1" applyBorder="1" applyAlignment="1">
      <alignment horizontal="left" vertical="center" wrapText="1" indent="1"/>
    </xf>
    <xf numFmtId="0" fontId="28" fillId="0" borderId="3" xfId="0" applyNumberFormat="1" applyFont="1" applyBorder="1" applyAlignment="1">
      <alignment horizontal="center" vertical="center"/>
    </xf>
    <xf numFmtId="49" fontId="78" fillId="0" borderId="3" xfId="0" applyNumberFormat="1" applyFont="1" applyBorder="1" applyAlignment="1">
      <alignment horizontal="center" vertical="top" wrapText="1"/>
    </xf>
    <xf numFmtId="0" fontId="78" fillId="14" borderId="3" xfId="0" applyNumberFormat="1" applyFont="1" applyFill="1" applyBorder="1" applyAlignment="1">
      <alignment horizontal="center" vertical="center" wrapText="1"/>
    </xf>
    <xf numFmtId="49" fontId="78" fillId="0" borderId="28" xfId="0" applyNumberFormat="1" applyFont="1" applyBorder="1" applyAlignment="1">
      <alignment horizontal="center" vertical="top" wrapText="1"/>
    </xf>
    <xf numFmtId="49" fontId="78" fillId="0" borderId="21" xfId="0" applyNumberFormat="1" applyFont="1" applyBorder="1" applyAlignment="1">
      <alignment horizontal="center" vertical="top" wrapText="1"/>
    </xf>
    <xf numFmtId="49" fontId="78" fillId="0" borderId="5" xfId="0" applyNumberFormat="1" applyFont="1" applyBorder="1" applyAlignment="1">
      <alignment horizontal="center" vertical="top" wrapText="1"/>
    </xf>
    <xf numFmtId="49" fontId="78" fillId="0" borderId="6" xfId="0" applyNumberFormat="1" applyFont="1" applyBorder="1" applyAlignment="1">
      <alignment horizontal="center" vertical="top" wrapText="1"/>
    </xf>
    <xf numFmtId="49" fontId="78" fillId="0" borderId="4" xfId="0" applyNumberFormat="1" applyFont="1" applyBorder="1" applyAlignment="1">
      <alignment horizontal="center" vertical="top" wrapText="1"/>
    </xf>
    <xf numFmtId="49" fontId="78" fillId="0" borderId="8" xfId="0" applyNumberFormat="1" applyFont="1" applyBorder="1" applyAlignment="1">
      <alignment horizontal="center" vertical="top" wrapText="1"/>
    </xf>
    <xf numFmtId="49" fontId="78" fillId="0" borderId="27" xfId="0" applyNumberFormat="1" applyFont="1" applyBorder="1" applyAlignment="1">
      <alignment horizontal="center" vertical="top" wrapText="1"/>
    </xf>
    <xf numFmtId="49" fontId="78" fillId="0" borderId="14" xfId="0" applyNumberFormat="1" applyFont="1" applyBorder="1" applyAlignment="1">
      <alignment horizontal="center" vertical="top" wrapText="1"/>
    </xf>
    <xf numFmtId="0" fontId="29" fillId="0" borderId="10" xfId="0" applyNumberFormat="1" applyFont="1" applyBorder="1" applyAlignment="1">
      <alignment horizontal="left" vertical="center" wrapText="1" indent="1"/>
    </xf>
    <xf numFmtId="0" fontId="29" fillId="0" borderId="18" xfId="0" applyNumberFormat="1" applyFont="1" applyBorder="1" applyAlignment="1">
      <alignment horizontal="left" vertical="center" wrapText="1" indent="1"/>
    </xf>
    <xf numFmtId="0" fontId="6" fillId="0" borderId="0" xfId="0" applyNumberFormat="1" applyFont="1" applyAlignment="1">
      <alignment horizontal="right" vertical="center" wrapText="1"/>
    </xf>
    <xf numFmtId="4" fontId="6"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1483">
    <cellStyle name=" 1" xfId="2"/>
    <cellStyle name=" 1 2" xfId="3"/>
    <cellStyle name=" 1 3" xfId="16"/>
    <cellStyle name=" 1_Stage1" xfId="2"/>
    <cellStyle name="%" xfId="17"/>
    <cellStyle name="%_Inputs" xfId="18"/>
    <cellStyle name="%_Inputs (const)" xfId="19"/>
    <cellStyle name="%_Inputs Co" xfId="20"/>
    <cellStyle name="?" xfId="1428"/>
    <cellStyle name="?_Кредиты_займы НПГЭ Д" xfId="1429"/>
    <cellStyle name="?_Кредиты_займы НПГЭ_4" xfId="1430"/>
    <cellStyle name="?_План НПГЭ на 2012 (01-04-2012)_1" xfId="1431"/>
    <cellStyle name="_Model_RAB Мой" xfId="21"/>
    <cellStyle name="_Model_RAB Мой_46EE.2011(v1.0)" xfId="22"/>
    <cellStyle name="_Model_RAB Мой_46EE.2011(v1.2)" xfId="23"/>
    <cellStyle name="_Model_RAB Мой_ARMRAZR" xfId="24"/>
    <cellStyle name="_Model_RAB Мой_BALANCE.WARM.2010.FACT(v1.0)" xfId="25"/>
    <cellStyle name="_Model_RAB Мой_BALANCE.WARM.2010.PLAN" xfId="26"/>
    <cellStyle name="_Model_RAB Мой_BALANCE.WARM.2011YEAR(v0.7)" xfId="27"/>
    <cellStyle name="_Model_RAB Мой_BALANCE.WARM.2011YEAR.NEW.UPDATE.SCHEME" xfId="28"/>
    <cellStyle name="_Model_RAB Мой_FORM910.2012(v1.1)" xfId="29"/>
    <cellStyle name="_Model_RAB Мой_NADB.JNVLS.APTEKA.2011(v1.3.3)" xfId="30"/>
    <cellStyle name="_Model_RAB Мой_NADB.JNVLS.APTEKA.2011(v1.3.4)" xfId="31"/>
    <cellStyle name="_Model_RAB Мой_PR.PROG.WARM.NOTCOMBI.2012.2.16_v1.4(04.04.11) " xfId="4"/>
    <cellStyle name="_Model_RAB Мой_PREDEL.JKH.UTV.2011(v1.0.1)" xfId="32"/>
    <cellStyle name="_Model_RAB Мой_PREDEL.JKH.UTV.2011(v1.1)" xfId="33"/>
    <cellStyle name="_Model_RAB Мой_UPDATE.46EE.2011.TO.1.1" xfId="34"/>
    <cellStyle name="_Model_RAB Мой_UPDATE.BALANCE.WARM.2011YEAR.TO.1.1" xfId="35"/>
    <cellStyle name="_Model_RAB Мой_UPDATE.NADB.JNVLS.APTEKA.2011.TO.1.3.4" xfId="36"/>
    <cellStyle name="_Model_RAB Мой_Книга2_PR.PROG.WARM.NOTCOMBI.2012.2.16_v1.4(04.04.11) " xfId="4"/>
    <cellStyle name="_Model_RAB_MRSK_svod" xfId="37"/>
    <cellStyle name="_Model_RAB_MRSK_svod_46EE.2011(v1.0)" xfId="38"/>
    <cellStyle name="_Model_RAB_MRSK_svod_46EE.2011(v1.2)" xfId="39"/>
    <cellStyle name="_Model_RAB_MRSK_svod_ARMRAZR" xfId="40"/>
    <cellStyle name="_Model_RAB_MRSK_svod_BALANCE.WARM.2010.FACT(v1.0)" xfId="41"/>
    <cellStyle name="_Model_RAB_MRSK_svod_BALANCE.WARM.2010.PLAN" xfId="42"/>
    <cellStyle name="_Model_RAB_MRSK_svod_BALANCE.WARM.2011YEAR(v0.7)" xfId="43"/>
    <cellStyle name="_Model_RAB_MRSK_svod_BALANCE.WARM.2011YEAR.NEW.UPDATE.SCHEME" xfId="44"/>
    <cellStyle name="_Model_RAB_MRSK_svod_FORM910.2012(v1.1)" xfId="45"/>
    <cellStyle name="_Model_RAB_MRSK_svod_NADB.JNVLS.APTEKA.2011(v1.3.3)" xfId="46"/>
    <cellStyle name="_Model_RAB_MRSK_svod_NADB.JNVLS.APTEKA.2011(v1.3.4)" xfId="47"/>
    <cellStyle name="_Model_RAB_MRSK_svod_PR.PROG.WARM.NOTCOMBI.2012.2.16_v1.4(04.04.11) " xfId="4"/>
    <cellStyle name="_Model_RAB_MRSK_svod_PREDEL.JKH.UTV.2011(v1.0.1)" xfId="48"/>
    <cellStyle name="_Model_RAB_MRSK_svod_PREDEL.JKH.UTV.2011(v1.1)" xfId="49"/>
    <cellStyle name="_Model_RAB_MRSK_svod_UPDATE.46EE.2011.TO.1.1" xfId="50"/>
    <cellStyle name="_Model_RAB_MRSK_svod_UPDATE.BALANCE.WARM.2011YEAR.TO.1.1" xfId="51"/>
    <cellStyle name="_Model_RAB_MRSK_svod_UPDATE.NADB.JNVLS.APTEKA.2011.TO.1.3.4" xfId="52"/>
    <cellStyle name="_Model_RAB_MRSK_svod_Книга2_PR.PROG.WARM.NOTCOMBI.2012.2.16_v1.4(04.04.11) " xfId="4"/>
    <cellStyle name="_RAB с 2010 года" xfId="53"/>
    <cellStyle name="_Бюджет 2005 ЗСЭК" xfId="1432"/>
    <cellStyle name="_Бюджет на согласование 151006" xfId="1433"/>
    <cellStyle name="_ВО ОП ТЭС-ОТ- 2007" xfId="54"/>
    <cellStyle name="_ВФ ОАО ТЭС-ОТ- 2009" xfId="55"/>
    <cellStyle name="_выручка по присоединениям2" xfId="56"/>
    <cellStyle name="_Договор аренды ЯЭ с разбивкой" xfId="57"/>
    <cellStyle name="_ЗСЭК план 2005" xfId="1434"/>
    <cellStyle name="_Исходные данные для модели" xfId="58"/>
    <cellStyle name="_МОДЕЛЬ_1 (2)" xfId="59"/>
    <cellStyle name="_МОДЕЛЬ_1 (2)_46EE.2011(v1.0)" xfId="60"/>
    <cellStyle name="_МОДЕЛЬ_1 (2)_46EE.2011(v1.2)" xfId="61"/>
    <cellStyle name="_МОДЕЛЬ_1 (2)_ARMRAZR" xfId="62"/>
    <cellStyle name="_МОДЕЛЬ_1 (2)_BALANCE.WARM.2010.FACT(v1.0)" xfId="63"/>
    <cellStyle name="_МОДЕЛЬ_1 (2)_BALANCE.WARM.2010.PLAN" xfId="64"/>
    <cellStyle name="_МОДЕЛЬ_1 (2)_BALANCE.WARM.2011YEAR(v0.7)" xfId="65"/>
    <cellStyle name="_МОДЕЛЬ_1 (2)_BALANCE.WARM.2011YEAR.NEW.UPDATE.SCHEME" xfId="66"/>
    <cellStyle name="_МОДЕЛЬ_1 (2)_FORM910.2012(v1.1)" xfId="67"/>
    <cellStyle name="_МОДЕЛЬ_1 (2)_NADB.JNVLS.APTEKA.2011(v1.3.3)" xfId="68"/>
    <cellStyle name="_МОДЕЛЬ_1 (2)_NADB.JNVLS.APTEKA.2011(v1.3.4)" xfId="69"/>
    <cellStyle name="_МОДЕЛЬ_1 (2)_PR.PROG.WARM.NOTCOMBI.2012.2.16_v1.4(04.04.11) " xfId="4"/>
    <cellStyle name="_МОДЕЛЬ_1 (2)_PREDEL.JKH.UTV.2011(v1.0.1)" xfId="70"/>
    <cellStyle name="_МОДЕЛЬ_1 (2)_PREDEL.JKH.UTV.2011(v1.1)" xfId="71"/>
    <cellStyle name="_МОДЕЛЬ_1 (2)_UPDATE.46EE.2011.TO.1.1" xfId="72"/>
    <cellStyle name="_МОДЕЛЬ_1 (2)_UPDATE.BALANCE.WARM.2011YEAR.TO.1.1" xfId="73"/>
    <cellStyle name="_МОДЕЛЬ_1 (2)_UPDATE.NADB.JNVLS.APTEKA.2011.TO.1.3.4" xfId="74"/>
    <cellStyle name="_МОДЕЛЬ_1 (2)_Книга2_PR.PROG.WARM.NOTCOMBI.2012.2.16_v1.4(04.04.11) " xfId="4"/>
    <cellStyle name="_Модель_2.1" xfId="75"/>
    <cellStyle name="_МУП НУГЭС сбыт 2007 откоректированный" xfId="76"/>
    <cellStyle name="_НВВ 2009 постатейно свод по филиалам_09_02_09" xfId="77"/>
    <cellStyle name="_НВВ 2009 постатейно свод по филиалам_для Валентина" xfId="78"/>
    <cellStyle name="_НУГЭС 15 2007" xfId="79"/>
    <cellStyle name="_НУГЭС сбыт 2007" xfId="80"/>
    <cellStyle name="_Омск" xfId="81"/>
    <cellStyle name="_ОТ ИД 2009" xfId="82"/>
    <cellStyle name="_План_Отчет_БДР_2010_05 02 2010_НПГЭ_" xfId="1435"/>
    <cellStyle name="_пр 5 тариф RAB" xfId="83"/>
    <cellStyle name="_пр 5 тариф RAB_46EE.2011(v1.0)" xfId="84"/>
    <cellStyle name="_пр 5 тариф RAB_46EE.2011(v1.2)" xfId="85"/>
    <cellStyle name="_пр 5 тариф RAB_ARMRAZR" xfId="86"/>
    <cellStyle name="_пр 5 тариф RAB_BALANCE.WARM.2010.FACT(v1.0)" xfId="87"/>
    <cellStyle name="_пр 5 тариф RAB_BALANCE.WARM.2010.PLAN" xfId="88"/>
    <cellStyle name="_пр 5 тариф RAB_BALANCE.WARM.2011YEAR(v0.7)" xfId="89"/>
    <cellStyle name="_пр 5 тариф RAB_BALANCE.WARM.2011YEAR.NEW.UPDATE.SCHEME" xfId="90"/>
    <cellStyle name="_пр 5 тариф RAB_FORM910.2012(v1.1)" xfId="91"/>
    <cellStyle name="_пр 5 тариф RAB_NADB.JNVLS.APTEKA.2011(v1.3.3)" xfId="92"/>
    <cellStyle name="_пр 5 тариф RAB_NADB.JNVLS.APTEKA.2011(v1.3.4)" xfId="93"/>
    <cellStyle name="_пр 5 тариф RAB_PR.PROG.WARM.NOTCOMBI.2012.2.16_v1.4(04.04.11) " xfId="4"/>
    <cellStyle name="_пр 5 тариф RAB_PREDEL.JKH.UTV.2011(v1.0.1)" xfId="94"/>
    <cellStyle name="_пр 5 тариф RAB_PREDEL.JKH.UTV.2011(v1.1)" xfId="95"/>
    <cellStyle name="_пр 5 тариф RAB_UPDATE.46EE.2011.TO.1.1" xfId="96"/>
    <cellStyle name="_пр 5 тариф RAB_UPDATE.BALANCE.WARM.2011YEAR.TO.1.1" xfId="97"/>
    <cellStyle name="_пр 5 тариф RAB_UPDATE.NADB.JNVLS.APTEKA.2011.TO.1.3.4" xfId="98"/>
    <cellStyle name="_пр 5 тариф RAB_Книга2_PR.PROG.WARM.NOTCOMBI.2012.2.16_v1.4(04.04.11) " xfId="4"/>
    <cellStyle name="_Предожение _ДБП_2009 г ( согласованные БП)  (2)" xfId="99"/>
    <cellStyle name="_Приложение МТС-3-КС" xfId="100"/>
    <cellStyle name="_Приложение2" xfId="1436"/>
    <cellStyle name="_Приложение-МТС--2-1" xfId="101"/>
    <cellStyle name="_Расчет RAB_22072008" xfId="102"/>
    <cellStyle name="_Расчет RAB_22072008_46EE.2011(v1.0)" xfId="103"/>
    <cellStyle name="_Расчет RAB_22072008_46EE.2011(v1.2)" xfId="104"/>
    <cellStyle name="_Расчет RAB_22072008_ARMRAZR" xfId="105"/>
    <cellStyle name="_Расчет RAB_22072008_BALANCE.WARM.2010.FACT(v1.0)" xfId="106"/>
    <cellStyle name="_Расчет RAB_22072008_BALANCE.WARM.2010.PLAN" xfId="107"/>
    <cellStyle name="_Расчет RAB_22072008_BALANCE.WARM.2011YEAR(v0.7)" xfId="108"/>
    <cellStyle name="_Расчет RAB_22072008_BALANCE.WARM.2011YEAR.NEW.UPDATE.SCHEME" xfId="109"/>
    <cellStyle name="_Расчет RAB_22072008_FORM910.2012(v1.1)" xfId="110"/>
    <cellStyle name="_Расчет RAB_22072008_NADB.JNVLS.APTEKA.2011(v1.3.3)" xfId="111"/>
    <cellStyle name="_Расчет RAB_22072008_NADB.JNVLS.APTEKA.2011(v1.3.4)" xfId="112"/>
    <cellStyle name="_Расчет RAB_22072008_PR.PROG.WARM.NOTCOMBI.2012.2.16_v1.4(04.04.11) " xfId="4"/>
    <cellStyle name="_Расчет RAB_22072008_PREDEL.JKH.UTV.2011(v1.0.1)" xfId="113"/>
    <cellStyle name="_Расчет RAB_22072008_PREDEL.JKH.UTV.2011(v1.1)" xfId="114"/>
    <cellStyle name="_Расчет RAB_22072008_UPDATE.46EE.2011.TO.1.1" xfId="115"/>
    <cellStyle name="_Расчет RAB_22072008_UPDATE.BALANCE.WARM.2011YEAR.TO.1.1" xfId="116"/>
    <cellStyle name="_Расчет RAB_22072008_UPDATE.NADB.JNVLS.APTEKA.2011.TO.1.3.4" xfId="117"/>
    <cellStyle name="_Расчет RAB_22072008_Книга2_PR.PROG.WARM.NOTCOMBI.2012.2.16_v1.4(04.04.11) " xfId="4"/>
    <cellStyle name="_Расчет RAB_Лен и МОЭСК_с 2010 года_14.04.2009_со сглаж_version 3.0_без ФСК" xfId="118"/>
    <cellStyle name="_Расчет RAB_Лен и МОЭСК_с 2010 года_14.04.2009_со сглаж_version 3.0_без ФСК_46EE.2011(v1.0)" xfId="119"/>
    <cellStyle name="_Расчет RAB_Лен и МОЭСК_с 2010 года_14.04.2009_со сглаж_version 3.0_без ФСК_46EE.2011(v1.2)" xfId="120"/>
    <cellStyle name="_Расчет RAB_Лен и МОЭСК_с 2010 года_14.04.2009_со сглаж_version 3.0_без ФСК_ARMRAZR" xfId="121"/>
    <cellStyle name="_Расчет RAB_Лен и МОЭСК_с 2010 года_14.04.2009_со сглаж_version 3.0_без ФСК_BALANCE.WARM.2010.FACT(v1.0)" xfId="122"/>
    <cellStyle name="_Расчет RAB_Лен и МОЭСК_с 2010 года_14.04.2009_со сглаж_version 3.0_без ФСК_BALANCE.WARM.2010.PLAN" xfId="123"/>
    <cellStyle name="_Расчет RAB_Лен и МОЭСК_с 2010 года_14.04.2009_со сглаж_version 3.0_без ФСК_BALANCE.WARM.2011YEAR(v0.7)" xfId="124"/>
    <cellStyle name="_Расчет RAB_Лен и МОЭСК_с 2010 года_14.04.2009_со сглаж_version 3.0_без ФСК_BALANCE.WARM.2011YEAR.NEW.UPDATE.SCHEME" xfId="125"/>
    <cellStyle name="_Расчет RAB_Лен и МОЭСК_с 2010 года_14.04.2009_со сглаж_version 3.0_без ФСК_FORM910.2012(v1.1)" xfId="126"/>
    <cellStyle name="_Расчет RAB_Лен и МОЭСК_с 2010 года_14.04.2009_со сглаж_version 3.0_без ФСК_NADB.JNVLS.APTEKA.2011(v1.3.3)" xfId="127"/>
    <cellStyle name="_Расчет RAB_Лен и МОЭСК_с 2010 года_14.04.2009_со сглаж_version 3.0_без ФСК_NADB.JNVLS.APTEKA.2011(v1.3.4)" xfId="128"/>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PREDEL.JKH.UTV.2011(v1.0.1)" xfId="129"/>
    <cellStyle name="_Расчет RAB_Лен и МОЭСК_с 2010 года_14.04.2009_со сглаж_version 3.0_без ФСК_PREDEL.JKH.UTV.2011(v1.1)" xfId="130"/>
    <cellStyle name="_Расчет RAB_Лен и МОЭСК_с 2010 года_14.04.2009_со сглаж_version 3.0_без ФСК_UPDATE.46EE.2011.TO.1.1" xfId="131"/>
    <cellStyle name="_Расчет RAB_Лен и МОЭСК_с 2010 года_14.04.2009_со сглаж_version 3.0_без ФСК_UPDATE.BALANCE.WARM.2011YEAR.TO.1.1" xfId="132"/>
    <cellStyle name="_Расчет RAB_Лен и МОЭСК_с 2010 года_14.04.2009_со сглаж_version 3.0_без ФСК_UPDATE.NADB.JNVLS.APTEKA.2011.TO.1.3.4" xfId="133"/>
    <cellStyle name="_Расчет RAB_Лен и МОЭСК_с 2010 года_14.04.2009_со сглаж_version 3.0_без ФСК_Книга2_PR.PROG.WARM.NOTCOMBI.2012.2.16_v1.4(04.04.11) " xfId="4"/>
    <cellStyle name="_Свод по ИПР (2)" xfId="134"/>
    <cellStyle name="_таблицы для расчетов28-04-08_2006-2009_прибыль корр_по ИА" xfId="135"/>
    <cellStyle name="_таблицы для расчетов28-04-08_2006-2009с ИА" xfId="136"/>
    <cellStyle name="_ТАВ1_31.12.2010_2" xfId="137"/>
    <cellStyle name="_Форма 6  РТК.xls(отчет по Адр пр. ЛО)" xfId="138"/>
    <cellStyle name="_Формат разбивки по МРСК_РСК" xfId="139"/>
    <cellStyle name="_Формат_для Согласования" xfId="140"/>
    <cellStyle name="_экон.форм-т ВО 1 с разбивкой" xfId="141"/>
    <cellStyle name="”€ќђќ‘ћ‚›‰" xfId="142"/>
    <cellStyle name="”€љ‘€ђћ‚ђќќ›‰" xfId="143"/>
    <cellStyle name="”ќђќ‘ћ‚›‰" xfId="144"/>
    <cellStyle name="”љ‘ђћ‚ђќќ›‰" xfId="145"/>
    <cellStyle name="„…ќ…†ќ›‰" xfId="146"/>
    <cellStyle name="€’ћѓћ‚›‰" xfId="147"/>
    <cellStyle name="‡ђѓћ‹ћ‚ћљ1" xfId="148"/>
    <cellStyle name="‡ђѓћ‹ћ‚ћљ2" xfId="149"/>
    <cellStyle name="’ћѓћ‚›‰" xfId="150"/>
    <cellStyle name="20% - Accent1" xfId="151"/>
    <cellStyle name="20% - Accent1 2" xfId="152"/>
    <cellStyle name="20% - Accent1_46EE.2011(v1.0)" xfId="153"/>
    <cellStyle name="20% - Accent2" xfId="154"/>
    <cellStyle name="20% - Accent2 2" xfId="155"/>
    <cellStyle name="20% - Accent2_46EE.2011(v1.0)" xfId="156"/>
    <cellStyle name="20% - Accent3" xfId="157"/>
    <cellStyle name="20% - Accent3 2" xfId="158"/>
    <cellStyle name="20% - Accent3_46EE.2011(v1.0)" xfId="159"/>
    <cellStyle name="20% - Accent4" xfId="160"/>
    <cellStyle name="20% - Accent4 2" xfId="161"/>
    <cellStyle name="20% - Accent4_46EE.2011(v1.0)" xfId="162"/>
    <cellStyle name="20% - Accent5" xfId="163"/>
    <cellStyle name="20% - Accent5 2" xfId="164"/>
    <cellStyle name="20% - Accent5_46EE.2011(v1.0)" xfId="165"/>
    <cellStyle name="20% - Accent6" xfId="166"/>
    <cellStyle name="20% - Accent6 2" xfId="167"/>
    <cellStyle name="20% - Accent6_46EE.2011(v1.0)" xfId="168"/>
    <cellStyle name="20% - Акцент1 10" xfId="169"/>
    <cellStyle name="20% - Акцент1 2" xfId="170"/>
    <cellStyle name="20% - Акцент1 2 2" xfId="171"/>
    <cellStyle name="20% - Акцент1 2_46EE.2011(v1.0)" xfId="172"/>
    <cellStyle name="20% - Акцент1 3" xfId="173"/>
    <cellStyle name="20% - Акцент1 3 2" xfId="174"/>
    <cellStyle name="20% - Акцент1 3_46EE.2011(v1.0)" xfId="175"/>
    <cellStyle name="20% - Акцент1 4" xfId="176"/>
    <cellStyle name="20% - Акцент1 4 2" xfId="177"/>
    <cellStyle name="20% - Акцент1 4_46EE.2011(v1.0)" xfId="178"/>
    <cellStyle name="20% - Акцент1 5" xfId="179"/>
    <cellStyle name="20% - Акцент1 5 2" xfId="180"/>
    <cellStyle name="20% - Акцент1 5_46EE.2011(v1.0)" xfId="181"/>
    <cellStyle name="20% - Акцент1 6" xfId="182"/>
    <cellStyle name="20% - Акцент1 6 2" xfId="183"/>
    <cellStyle name="20% - Акцент1 6_46EE.2011(v1.0)" xfId="184"/>
    <cellStyle name="20% - Акцент1 7" xfId="185"/>
    <cellStyle name="20% - Акцент1 7 2" xfId="186"/>
    <cellStyle name="20% - Акцент1 7_46EE.2011(v1.0)" xfId="187"/>
    <cellStyle name="20% - Акцент1 8" xfId="188"/>
    <cellStyle name="20% - Акцент1 8 2" xfId="189"/>
    <cellStyle name="20% - Акцент1 8_46EE.2011(v1.0)" xfId="190"/>
    <cellStyle name="20% - Акцент1 9" xfId="191"/>
    <cellStyle name="20% - Акцент1 9 2" xfId="192"/>
    <cellStyle name="20% - Акцент1 9_46EE.2011(v1.0)" xfId="193"/>
    <cellStyle name="20% - Акцент2 10" xfId="194"/>
    <cellStyle name="20% - Акцент2 2" xfId="195"/>
    <cellStyle name="20% - Акцент2 2 2" xfId="196"/>
    <cellStyle name="20% - Акцент2 2_46EE.2011(v1.0)" xfId="197"/>
    <cellStyle name="20% - Акцент2 3" xfId="198"/>
    <cellStyle name="20% - Акцент2 3 2" xfId="199"/>
    <cellStyle name="20% - Акцент2 3_46EE.2011(v1.0)" xfId="200"/>
    <cellStyle name="20% - Акцент2 4" xfId="201"/>
    <cellStyle name="20% - Акцент2 4 2" xfId="202"/>
    <cellStyle name="20% - Акцент2 4_46EE.2011(v1.0)" xfId="203"/>
    <cellStyle name="20% - Акцент2 5" xfId="204"/>
    <cellStyle name="20% - Акцент2 5 2" xfId="205"/>
    <cellStyle name="20% - Акцент2 5_46EE.2011(v1.0)" xfId="206"/>
    <cellStyle name="20% - Акцент2 6" xfId="207"/>
    <cellStyle name="20% - Акцент2 6 2" xfId="208"/>
    <cellStyle name="20% - Акцент2 6_46EE.2011(v1.0)" xfId="209"/>
    <cellStyle name="20% - Акцент2 7" xfId="210"/>
    <cellStyle name="20% - Акцент2 7 2" xfId="211"/>
    <cellStyle name="20% - Акцент2 7_46EE.2011(v1.0)" xfId="212"/>
    <cellStyle name="20% - Акцент2 8" xfId="213"/>
    <cellStyle name="20% - Акцент2 8 2" xfId="214"/>
    <cellStyle name="20% - Акцент2 8_46EE.2011(v1.0)" xfId="215"/>
    <cellStyle name="20% - Акцент2 9" xfId="216"/>
    <cellStyle name="20% - Акцент2 9 2" xfId="217"/>
    <cellStyle name="20% - Акцент2 9_46EE.2011(v1.0)" xfId="218"/>
    <cellStyle name="20% - Акцент3 10" xfId="219"/>
    <cellStyle name="20% - Акцент3 2" xfId="220"/>
    <cellStyle name="20% - Акцент3 2 2" xfId="221"/>
    <cellStyle name="20% - Акцент3 2_46EE.2011(v1.0)" xfId="222"/>
    <cellStyle name="20% - Акцент3 3" xfId="223"/>
    <cellStyle name="20% - Акцент3 3 2" xfId="224"/>
    <cellStyle name="20% - Акцент3 3_46EE.2011(v1.0)" xfId="225"/>
    <cellStyle name="20% - Акцент3 4" xfId="226"/>
    <cellStyle name="20% - Акцент3 4 2" xfId="227"/>
    <cellStyle name="20% - Акцент3 4_46EE.2011(v1.0)" xfId="228"/>
    <cellStyle name="20% - Акцент3 5" xfId="229"/>
    <cellStyle name="20% - Акцент3 5 2" xfId="230"/>
    <cellStyle name="20% - Акцент3 5_46EE.2011(v1.0)" xfId="231"/>
    <cellStyle name="20% - Акцент3 6" xfId="232"/>
    <cellStyle name="20% - Акцент3 6 2" xfId="233"/>
    <cellStyle name="20% - Акцент3 6_46EE.2011(v1.0)" xfId="234"/>
    <cellStyle name="20% - Акцент3 7" xfId="235"/>
    <cellStyle name="20% - Акцент3 7 2" xfId="236"/>
    <cellStyle name="20% - Акцент3 7_46EE.2011(v1.0)" xfId="237"/>
    <cellStyle name="20% - Акцент3 8" xfId="238"/>
    <cellStyle name="20% - Акцент3 8 2" xfId="239"/>
    <cellStyle name="20% - Акцент3 8_46EE.2011(v1.0)" xfId="240"/>
    <cellStyle name="20% - Акцент3 9" xfId="241"/>
    <cellStyle name="20% - Акцент3 9 2" xfId="242"/>
    <cellStyle name="20% - Акцент3 9_46EE.2011(v1.0)" xfId="243"/>
    <cellStyle name="20% - Акцент4 10" xfId="244"/>
    <cellStyle name="20% - Акцент4 2" xfId="245"/>
    <cellStyle name="20% - Акцент4 2 2" xfId="246"/>
    <cellStyle name="20% - Акцент4 2_46EE.2011(v1.0)" xfId="247"/>
    <cellStyle name="20% - Акцент4 3" xfId="248"/>
    <cellStyle name="20% - Акцент4 3 2" xfId="249"/>
    <cellStyle name="20% - Акцент4 3_46EE.2011(v1.0)" xfId="250"/>
    <cellStyle name="20% - Акцент4 4" xfId="251"/>
    <cellStyle name="20% - Акцент4 4 2" xfId="252"/>
    <cellStyle name="20% - Акцент4 4_46EE.2011(v1.0)" xfId="253"/>
    <cellStyle name="20% - Акцент4 5" xfId="254"/>
    <cellStyle name="20% - Акцент4 5 2" xfId="255"/>
    <cellStyle name="20% - Акцент4 5_46EE.2011(v1.0)" xfId="256"/>
    <cellStyle name="20% - Акцент4 6" xfId="257"/>
    <cellStyle name="20% - Акцент4 6 2" xfId="258"/>
    <cellStyle name="20% - Акцент4 6_46EE.2011(v1.0)" xfId="259"/>
    <cellStyle name="20% - Акцент4 7" xfId="260"/>
    <cellStyle name="20% - Акцент4 7 2" xfId="261"/>
    <cellStyle name="20% - Акцент4 7_46EE.2011(v1.0)" xfId="262"/>
    <cellStyle name="20% - Акцент4 8" xfId="263"/>
    <cellStyle name="20% - Акцент4 8 2" xfId="264"/>
    <cellStyle name="20% - Акцент4 8_46EE.2011(v1.0)" xfId="265"/>
    <cellStyle name="20% - Акцент4 9" xfId="266"/>
    <cellStyle name="20% - Акцент4 9 2" xfId="267"/>
    <cellStyle name="20% - Акцент4 9_46EE.2011(v1.0)" xfId="268"/>
    <cellStyle name="20% - Акцент5 10" xfId="269"/>
    <cellStyle name="20% - Акцент5 2" xfId="270"/>
    <cellStyle name="20% - Акцент5 2 2" xfId="271"/>
    <cellStyle name="20% - Акцент5 2_46EE.2011(v1.0)" xfId="272"/>
    <cellStyle name="20% - Акцент5 3" xfId="273"/>
    <cellStyle name="20% - Акцент5 3 2" xfId="274"/>
    <cellStyle name="20% - Акцент5 3_46EE.2011(v1.0)" xfId="275"/>
    <cellStyle name="20% - Акцент5 4" xfId="276"/>
    <cellStyle name="20% - Акцент5 4 2" xfId="277"/>
    <cellStyle name="20% - Акцент5 4_46EE.2011(v1.0)" xfId="278"/>
    <cellStyle name="20% - Акцент5 5" xfId="279"/>
    <cellStyle name="20% - Акцент5 5 2" xfId="280"/>
    <cellStyle name="20% - Акцент5 5_46EE.2011(v1.0)" xfId="281"/>
    <cellStyle name="20% - Акцент5 6" xfId="282"/>
    <cellStyle name="20% - Акцент5 6 2" xfId="283"/>
    <cellStyle name="20% - Акцент5 6_46EE.2011(v1.0)" xfId="284"/>
    <cellStyle name="20% - Акцент5 7" xfId="285"/>
    <cellStyle name="20% - Акцент5 7 2" xfId="286"/>
    <cellStyle name="20% - Акцент5 7_46EE.2011(v1.0)" xfId="287"/>
    <cellStyle name="20% - Акцент5 8" xfId="288"/>
    <cellStyle name="20% - Акцент5 8 2" xfId="289"/>
    <cellStyle name="20% - Акцент5 8_46EE.2011(v1.0)" xfId="290"/>
    <cellStyle name="20% - Акцент5 9" xfId="291"/>
    <cellStyle name="20% - Акцент5 9 2" xfId="292"/>
    <cellStyle name="20% - Акцент5 9_46EE.2011(v1.0)" xfId="293"/>
    <cellStyle name="20% - Акцент6 10" xfId="294"/>
    <cellStyle name="20% - Акцент6 2" xfId="295"/>
    <cellStyle name="20% - Акцент6 2 2" xfId="296"/>
    <cellStyle name="20% - Акцент6 2_46EE.2011(v1.0)" xfId="297"/>
    <cellStyle name="20% - Акцент6 3" xfId="298"/>
    <cellStyle name="20% - Акцент6 3 2" xfId="299"/>
    <cellStyle name="20% - Акцент6 3_46EE.2011(v1.0)" xfId="300"/>
    <cellStyle name="20% - Акцент6 4" xfId="301"/>
    <cellStyle name="20% - Акцент6 4 2" xfId="302"/>
    <cellStyle name="20% - Акцент6 4_46EE.2011(v1.0)" xfId="303"/>
    <cellStyle name="20% - Акцент6 5" xfId="304"/>
    <cellStyle name="20% - Акцент6 5 2" xfId="305"/>
    <cellStyle name="20% - Акцент6 5_46EE.2011(v1.0)" xfId="306"/>
    <cellStyle name="20% - Акцент6 6" xfId="307"/>
    <cellStyle name="20% - Акцент6 6 2" xfId="308"/>
    <cellStyle name="20% - Акцент6 6_46EE.2011(v1.0)" xfId="309"/>
    <cellStyle name="20% - Акцент6 7" xfId="310"/>
    <cellStyle name="20% - Акцент6 7 2" xfId="311"/>
    <cellStyle name="20% - Акцент6 7_46EE.2011(v1.0)" xfId="312"/>
    <cellStyle name="20% - Акцент6 8" xfId="313"/>
    <cellStyle name="20% - Акцент6 8 2" xfId="314"/>
    <cellStyle name="20% - Акцент6 8_46EE.2011(v1.0)" xfId="315"/>
    <cellStyle name="20% - Акцент6 9" xfId="316"/>
    <cellStyle name="20% - Акцент6 9 2" xfId="317"/>
    <cellStyle name="20% - Акцент6 9_46EE.2011(v1.0)" xfId="318"/>
    <cellStyle name="40% - Accent1" xfId="319"/>
    <cellStyle name="40% - Accent1 2" xfId="320"/>
    <cellStyle name="40% - Accent1_46EE.2011(v1.0)" xfId="321"/>
    <cellStyle name="40% - Accent2" xfId="322"/>
    <cellStyle name="40% - Accent2 2" xfId="323"/>
    <cellStyle name="40% - Accent2_46EE.2011(v1.0)" xfId="324"/>
    <cellStyle name="40% - Accent3" xfId="325"/>
    <cellStyle name="40% - Accent3 2" xfId="326"/>
    <cellStyle name="40% - Accent3_46EE.2011(v1.0)" xfId="327"/>
    <cellStyle name="40% - Accent4" xfId="328"/>
    <cellStyle name="40% - Accent4 2" xfId="329"/>
    <cellStyle name="40% - Accent4_46EE.2011(v1.0)" xfId="330"/>
    <cellStyle name="40% - Accent5" xfId="331"/>
    <cellStyle name="40% - Accent5 2" xfId="332"/>
    <cellStyle name="40% - Accent5_46EE.2011(v1.0)" xfId="333"/>
    <cellStyle name="40% - Accent6" xfId="334"/>
    <cellStyle name="40% - Accent6 2" xfId="335"/>
    <cellStyle name="40% - Accent6_46EE.2011(v1.0)" xfId="336"/>
    <cellStyle name="40% - Акцент1 10" xfId="337"/>
    <cellStyle name="40% - Акцент1 2" xfId="338"/>
    <cellStyle name="40% - Акцент1 2 2" xfId="339"/>
    <cellStyle name="40% - Акцент1 2_46EE.2011(v1.0)" xfId="340"/>
    <cellStyle name="40% - Акцент1 3" xfId="341"/>
    <cellStyle name="40% - Акцент1 3 2" xfId="342"/>
    <cellStyle name="40% - Акцент1 3_46EE.2011(v1.0)" xfId="343"/>
    <cellStyle name="40% - Акцент1 4" xfId="344"/>
    <cellStyle name="40% - Акцент1 4 2" xfId="345"/>
    <cellStyle name="40% - Акцент1 4_46EE.2011(v1.0)" xfId="346"/>
    <cellStyle name="40% - Акцент1 5" xfId="347"/>
    <cellStyle name="40% - Акцент1 5 2" xfId="348"/>
    <cellStyle name="40% - Акцент1 5_46EE.2011(v1.0)" xfId="349"/>
    <cellStyle name="40% - Акцент1 6" xfId="350"/>
    <cellStyle name="40% - Акцент1 6 2" xfId="351"/>
    <cellStyle name="40% - Акцент1 6_46EE.2011(v1.0)" xfId="352"/>
    <cellStyle name="40% - Акцент1 7" xfId="353"/>
    <cellStyle name="40% - Акцент1 7 2" xfId="354"/>
    <cellStyle name="40% - Акцент1 7_46EE.2011(v1.0)" xfId="355"/>
    <cellStyle name="40% - Акцент1 8" xfId="356"/>
    <cellStyle name="40% - Акцент1 8 2" xfId="357"/>
    <cellStyle name="40% - Акцент1 8_46EE.2011(v1.0)" xfId="358"/>
    <cellStyle name="40% - Акцент1 9" xfId="359"/>
    <cellStyle name="40% - Акцент1 9 2" xfId="360"/>
    <cellStyle name="40% - Акцент1 9_46EE.2011(v1.0)" xfId="361"/>
    <cellStyle name="40% - Акцент2 10" xfId="362"/>
    <cellStyle name="40% - Акцент2 2" xfId="363"/>
    <cellStyle name="40% - Акцент2 2 2" xfId="364"/>
    <cellStyle name="40% - Акцент2 2_46EE.2011(v1.0)" xfId="365"/>
    <cellStyle name="40% - Акцент2 3" xfId="366"/>
    <cellStyle name="40% - Акцент2 3 2" xfId="367"/>
    <cellStyle name="40% - Акцент2 3_46EE.2011(v1.0)" xfId="368"/>
    <cellStyle name="40% - Акцент2 4" xfId="369"/>
    <cellStyle name="40% - Акцент2 4 2" xfId="370"/>
    <cellStyle name="40% - Акцент2 4_46EE.2011(v1.0)" xfId="371"/>
    <cellStyle name="40% - Акцент2 5" xfId="372"/>
    <cellStyle name="40% - Акцент2 5 2" xfId="373"/>
    <cellStyle name="40% - Акцент2 5_46EE.2011(v1.0)" xfId="374"/>
    <cellStyle name="40% - Акцент2 6" xfId="375"/>
    <cellStyle name="40% - Акцент2 6 2" xfId="376"/>
    <cellStyle name="40% - Акцент2 6_46EE.2011(v1.0)" xfId="377"/>
    <cellStyle name="40% - Акцент2 7" xfId="378"/>
    <cellStyle name="40% - Акцент2 7 2" xfId="379"/>
    <cellStyle name="40% - Акцент2 7_46EE.2011(v1.0)" xfId="380"/>
    <cellStyle name="40% - Акцент2 8" xfId="381"/>
    <cellStyle name="40% - Акцент2 8 2" xfId="382"/>
    <cellStyle name="40% - Акцент2 8_46EE.2011(v1.0)" xfId="383"/>
    <cellStyle name="40% - Акцент2 9" xfId="384"/>
    <cellStyle name="40% - Акцент2 9 2" xfId="385"/>
    <cellStyle name="40% - Акцент2 9_46EE.2011(v1.0)" xfId="386"/>
    <cellStyle name="40% - Акцент3 10" xfId="387"/>
    <cellStyle name="40% - Акцент3 2" xfId="388"/>
    <cellStyle name="40% - Акцент3 2 2" xfId="389"/>
    <cellStyle name="40% - Акцент3 2_46EE.2011(v1.0)" xfId="390"/>
    <cellStyle name="40% - Акцент3 3" xfId="391"/>
    <cellStyle name="40% - Акцент3 3 2" xfId="392"/>
    <cellStyle name="40% - Акцент3 3_46EE.2011(v1.0)" xfId="393"/>
    <cellStyle name="40% - Акцент3 4" xfId="394"/>
    <cellStyle name="40% - Акцент3 4 2" xfId="395"/>
    <cellStyle name="40% - Акцент3 4_46EE.2011(v1.0)" xfId="396"/>
    <cellStyle name="40% - Акцент3 5" xfId="397"/>
    <cellStyle name="40% - Акцент3 5 2" xfId="398"/>
    <cellStyle name="40% - Акцент3 5_46EE.2011(v1.0)" xfId="399"/>
    <cellStyle name="40% - Акцент3 6" xfId="400"/>
    <cellStyle name="40% - Акцент3 6 2" xfId="401"/>
    <cellStyle name="40% - Акцент3 6_46EE.2011(v1.0)" xfId="402"/>
    <cellStyle name="40% - Акцент3 7" xfId="403"/>
    <cellStyle name="40% - Акцент3 7 2" xfId="404"/>
    <cellStyle name="40% - Акцент3 7_46EE.2011(v1.0)" xfId="405"/>
    <cellStyle name="40% - Акцент3 8" xfId="406"/>
    <cellStyle name="40% - Акцент3 8 2" xfId="407"/>
    <cellStyle name="40% - Акцент3 8_46EE.2011(v1.0)" xfId="408"/>
    <cellStyle name="40% - Акцент3 9" xfId="409"/>
    <cellStyle name="40% - Акцент3 9 2" xfId="410"/>
    <cellStyle name="40% - Акцент3 9_46EE.2011(v1.0)" xfId="411"/>
    <cellStyle name="40% - Акцент4 10" xfId="412"/>
    <cellStyle name="40% - Акцент4 2" xfId="413"/>
    <cellStyle name="40% - Акцент4 2 2" xfId="414"/>
    <cellStyle name="40% - Акцент4 2_46EE.2011(v1.0)" xfId="415"/>
    <cellStyle name="40% - Акцент4 3" xfId="416"/>
    <cellStyle name="40% - Акцент4 3 2" xfId="417"/>
    <cellStyle name="40% - Акцент4 3_46EE.2011(v1.0)" xfId="418"/>
    <cellStyle name="40% - Акцент4 4" xfId="419"/>
    <cellStyle name="40% - Акцент4 4 2" xfId="420"/>
    <cellStyle name="40% - Акцент4 4_46EE.2011(v1.0)" xfId="421"/>
    <cellStyle name="40% - Акцент4 5" xfId="422"/>
    <cellStyle name="40% - Акцент4 5 2" xfId="423"/>
    <cellStyle name="40% - Акцент4 5_46EE.2011(v1.0)" xfId="424"/>
    <cellStyle name="40% - Акцент4 6" xfId="425"/>
    <cellStyle name="40% - Акцент4 6 2" xfId="426"/>
    <cellStyle name="40% - Акцент4 6_46EE.2011(v1.0)" xfId="427"/>
    <cellStyle name="40% - Акцент4 7" xfId="428"/>
    <cellStyle name="40% - Акцент4 7 2" xfId="429"/>
    <cellStyle name="40% - Акцент4 7_46EE.2011(v1.0)" xfId="430"/>
    <cellStyle name="40% - Акцент4 8" xfId="431"/>
    <cellStyle name="40% - Акцент4 8 2" xfId="432"/>
    <cellStyle name="40% - Акцент4 8_46EE.2011(v1.0)" xfId="433"/>
    <cellStyle name="40% - Акцент4 9" xfId="434"/>
    <cellStyle name="40% - Акцент4 9 2" xfId="435"/>
    <cellStyle name="40% - Акцент4 9_46EE.2011(v1.0)" xfId="436"/>
    <cellStyle name="40% - Акцент5 10" xfId="437"/>
    <cellStyle name="40% - Акцент5 2" xfId="438"/>
    <cellStyle name="40% - Акцент5 2 2" xfId="439"/>
    <cellStyle name="40% - Акцент5 2_46EE.2011(v1.0)" xfId="440"/>
    <cellStyle name="40% - Акцент5 3" xfId="441"/>
    <cellStyle name="40% - Акцент5 3 2" xfId="442"/>
    <cellStyle name="40% - Акцент5 3_46EE.2011(v1.0)" xfId="443"/>
    <cellStyle name="40% - Акцент5 4" xfId="444"/>
    <cellStyle name="40% - Акцент5 4 2" xfId="445"/>
    <cellStyle name="40% - Акцент5 4_46EE.2011(v1.0)" xfId="446"/>
    <cellStyle name="40% - Акцент5 5" xfId="447"/>
    <cellStyle name="40% - Акцент5 5 2" xfId="448"/>
    <cellStyle name="40% - Акцент5 5_46EE.2011(v1.0)" xfId="449"/>
    <cellStyle name="40% - Акцент5 6" xfId="450"/>
    <cellStyle name="40% - Акцент5 6 2" xfId="451"/>
    <cellStyle name="40% - Акцент5 6_46EE.2011(v1.0)" xfId="452"/>
    <cellStyle name="40% - Акцент5 7" xfId="453"/>
    <cellStyle name="40% - Акцент5 7 2" xfId="454"/>
    <cellStyle name="40% - Акцент5 7_46EE.2011(v1.0)" xfId="455"/>
    <cellStyle name="40% - Акцент5 8" xfId="456"/>
    <cellStyle name="40% - Акцент5 8 2" xfId="457"/>
    <cellStyle name="40% - Акцент5 8_46EE.2011(v1.0)" xfId="458"/>
    <cellStyle name="40% - Акцент5 9" xfId="459"/>
    <cellStyle name="40% - Акцент5 9 2" xfId="460"/>
    <cellStyle name="40% - Акцент5 9_46EE.2011(v1.0)" xfId="461"/>
    <cellStyle name="40% - Акцент6 10" xfId="462"/>
    <cellStyle name="40% - Акцент6 2" xfId="463"/>
    <cellStyle name="40% - Акцент6 2 2" xfId="464"/>
    <cellStyle name="40% - Акцент6 2_46EE.2011(v1.0)" xfId="465"/>
    <cellStyle name="40% - Акцент6 3" xfId="466"/>
    <cellStyle name="40% - Акцент6 3 2" xfId="467"/>
    <cellStyle name="40% - Акцент6 3_46EE.2011(v1.0)" xfId="468"/>
    <cellStyle name="40% - Акцент6 4" xfId="469"/>
    <cellStyle name="40% - Акцент6 4 2" xfId="470"/>
    <cellStyle name="40% - Акцент6 4_46EE.2011(v1.0)" xfId="471"/>
    <cellStyle name="40% - Акцент6 5" xfId="472"/>
    <cellStyle name="40% - Акцент6 5 2" xfId="473"/>
    <cellStyle name="40% - Акцент6 5_46EE.2011(v1.0)" xfId="474"/>
    <cellStyle name="40% - Акцент6 6" xfId="475"/>
    <cellStyle name="40% - Акцент6 6 2" xfId="476"/>
    <cellStyle name="40% - Акцент6 6_46EE.2011(v1.0)" xfId="477"/>
    <cellStyle name="40% - Акцент6 7" xfId="478"/>
    <cellStyle name="40% - Акцент6 7 2" xfId="479"/>
    <cellStyle name="40% - Акцент6 7_46EE.2011(v1.0)" xfId="480"/>
    <cellStyle name="40% - Акцент6 8" xfId="481"/>
    <cellStyle name="40% - Акцент6 8 2" xfId="482"/>
    <cellStyle name="40% - Акцент6 8_46EE.2011(v1.0)" xfId="483"/>
    <cellStyle name="40% - Акцент6 9" xfId="484"/>
    <cellStyle name="40% - Акцент6 9 2" xfId="485"/>
    <cellStyle name="40% - Акцент6 9_46EE.2011(v1.0)" xfId="486"/>
    <cellStyle name="60% - Accent1" xfId="487"/>
    <cellStyle name="60% - Accent2" xfId="488"/>
    <cellStyle name="60% - Accent3" xfId="489"/>
    <cellStyle name="60% - Accent4" xfId="490"/>
    <cellStyle name="60% - Accent5" xfId="491"/>
    <cellStyle name="60% - Accent6" xfId="492"/>
    <cellStyle name="60% - Акцент1 10" xfId="493"/>
    <cellStyle name="60% - Акцент1 2" xfId="494"/>
    <cellStyle name="60% - Акцент1 2 2" xfId="495"/>
    <cellStyle name="60% - Акцент1 3" xfId="496"/>
    <cellStyle name="60% - Акцент1 3 2" xfId="497"/>
    <cellStyle name="60% - Акцент1 4" xfId="498"/>
    <cellStyle name="60% - Акцент1 4 2" xfId="499"/>
    <cellStyle name="60% - Акцент1 5" xfId="500"/>
    <cellStyle name="60% - Акцент1 5 2" xfId="501"/>
    <cellStyle name="60% - Акцент1 6" xfId="502"/>
    <cellStyle name="60% - Акцент1 6 2" xfId="503"/>
    <cellStyle name="60% - Акцент1 7" xfId="504"/>
    <cellStyle name="60% - Акцент1 7 2" xfId="505"/>
    <cellStyle name="60% - Акцент1 8" xfId="506"/>
    <cellStyle name="60% - Акцент1 8 2" xfId="507"/>
    <cellStyle name="60% - Акцент1 9" xfId="508"/>
    <cellStyle name="60% - Акцент1 9 2" xfId="509"/>
    <cellStyle name="60% - Акцент2 10" xfId="510"/>
    <cellStyle name="60% - Акцент2 2" xfId="511"/>
    <cellStyle name="60% - Акцент2 2 2" xfId="512"/>
    <cellStyle name="60% - Акцент2 3" xfId="513"/>
    <cellStyle name="60% - Акцент2 3 2" xfId="514"/>
    <cellStyle name="60% - Акцент2 4" xfId="515"/>
    <cellStyle name="60% - Акцент2 4 2" xfId="516"/>
    <cellStyle name="60% - Акцент2 5" xfId="517"/>
    <cellStyle name="60% - Акцент2 5 2" xfId="518"/>
    <cellStyle name="60% - Акцент2 6" xfId="519"/>
    <cellStyle name="60% - Акцент2 6 2" xfId="520"/>
    <cellStyle name="60% - Акцент2 7" xfId="521"/>
    <cellStyle name="60% - Акцент2 7 2" xfId="522"/>
    <cellStyle name="60% - Акцент2 8" xfId="523"/>
    <cellStyle name="60% - Акцент2 8 2" xfId="524"/>
    <cellStyle name="60% - Акцент2 9" xfId="525"/>
    <cellStyle name="60% - Акцент2 9 2" xfId="526"/>
    <cellStyle name="60% - Акцент3 10" xfId="527"/>
    <cellStyle name="60% - Акцент3 2" xfId="528"/>
    <cellStyle name="60% - Акцент3 2 2" xfId="529"/>
    <cellStyle name="60% - Акцент3 3" xfId="530"/>
    <cellStyle name="60% - Акцент3 3 2" xfId="531"/>
    <cellStyle name="60% - Акцент3 4" xfId="532"/>
    <cellStyle name="60% - Акцент3 4 2" xfId="533"/>
    <cellStyle name="60% - Акцент3 5" xfId="534"/>
    <cellStyle name="60% - Акцент3 5 2" xfId="535"/>
    <cellStyle name="60% - Акцент3 6" xfId="536"/>
    <cellStyle name="60% - Акцент3 6 2" xfId="537"/>
    <cellStyle name="60% - Акцент3 7" xfId="538"/>
    <cellStyle name="60% - Акцент3 7 2" xfId="539"/>
    <cellStyle name="60% - Акцент3 8" xfId="540"/>
    <cellStyle name="60% - Акцент3 8 2" xfId="541"/>
    <cellStyle name="60% - Акцент3 9" xfId="542"/>
    <cellStyle name="60% - Акцент3 9 2" xfId="543"/>
    <cellStyle name="60% - Акцент4 10" xfId="544"/>
    <cellStyle name="60% - Акцент4 2" xfId="545"/>
    <cellStyle name="60% - Акцент4 2 2" xfId="546"/>
    <cellStyle name="60% - Акцент4 3" xfId="547"/>
    <cellStyle name="60% - Акцент4 3 2" xfId="548"/>
    <cellStyle name="60% - Акцент4 4" xfId="549"/>
    <cellStyle name="60% - Акцент4 4 2" xfId="550"/>
    <cellStyle name="60% - Акцент4 5" xfId="551"/>
    <cellStyle name="60% - Акцент4 5 2" xfId="552"/>
    <cellStyle name="60% - Акцент4 6" xfId="553"/>
    <cellStyle name="60% - Акцент4 6 2" xfId="554"/>
    <cellStyle name="60% - Акцент4 7" xfId="555"/>
    <cellStyle name="60% - Акцент4 7 2" xfId="556"/>
    <cellStyle name="60% - Акцент4 8" xfId="557"/>
    <cellStyle name="60% - Акцент4 8 2" xfId="558"/>
    <cellStyle name="60% - Акцент4 9" xfId="559"/>
    <cellStyle name="60% - Акцент4 9 2" xfId="560"/>
    <cellStyle name="60% - Акцент5 10" xfId="561"/>
    <cellStyle name="60% - Акцент5 2" xfId="562"/>
    <cellStyle name="60% - Акцент5 2 2" xfId="563"/>
    <cellStyle name="60% - Акцент5 3" xfId="564"/>
    <cellStyle name="60% - Акцент5 3 2" xfId="565"/>
    <cellStyle name="60% - Акцент5 4" xfId="566"/>
    <cellStyle name="60% - Акцент5 4 2" xfId="567"/>
    <cellStyle name="60% - Акцент5 5" xfId="568"/>
    <cellStyle name="60% - Акцент5 5 2" xfId="569"/>
    <cellStyle name="60% - Акцент5 6" xfId="570"/>
    <cellStyle name="60% - Акцент5 6 2" xfId="571"/>
    <cellStyle name="60% - Акцент5 7" xfId="572"/>
    <cellStyle name="60% - Акцент5 7 2" xfId="573"/>
    <cellStyle name="60% - Акцент5 8" xfId="574"/>
    <cellStyle name="60% - Акцент5 8 2" xfId="575"/>
    <cellStyle name="60% - Акцент5 9" xfId="576"/>
    <cellStyle name="60% - Акцент5 9 2" xfId="577"/>
    <cellStyle name="60% - Акцент6 10" xfId="578"/>
    <cellStyle name="60% - Акцент6 2" xfId="579"/>
    <cellStyle name="60% - Акцент6 2 2" xfId="580"/>
    <cellStyle name="60% - Акцент6 3" xfId="581"/>
    <cellStyle name="60% - Акцент6 3 2" xfId="582"/>
    <cellStyle name="60% - Акцент6 4" xfId="583"/>
    <cellStyle name="60% - Акцент6 4 2" xfId="584"/>
    <cellStyle name="60% - Акцент6 5" xfId="585"/>
    <cellStyle name="60% - Акцент6 5 2" xfId="586"/>
    <cellStyle name="60% - Акцент6 6" xfId="587"/>
    <cellStyle name="60% - Акцент6 6 2" xfId="588"/>
    <cellStyle name="60% - Акцент6 7" xfId="589"/>
    <cellStyle name="60% - Акцент6 7 2" xfId="590"/>
    <cellStyle name="60% - Акцент6 8" xfId="591"/>
    <cellStyle name="60% - Акцент6 8 2" xfId="592"/>
    <cellStyle name="60% - Акцент6 9" xfId="593"/>
    <cellStyle name="60% - Акцент6 9 2" xfId="594"/>
    <cellStyle name="Accent1" xfId="595"/>
    <cellStyle name="Accent2" xfId="596"/>
    <cellStyle name="Accent3" xfId="597"/>
    <cellStyle name="Accent4" xfId="598"/>
    <cellStyle name="Accent5" xfId="599"/>
    <cellStyle name="Accent6" xfId="600"/>
    <cellStyle name="Ăčďĺđńńűëęŕ" xfId="601"/>
    <cellStyle name="Áĺççŕůčňíűé" xfId="602"/>
    <cellStyle name="Äĺíĺćíűé [0]_(ňŕá 3č)" xfId="603"/>
    <cellStyle name="Äĺíĺćíűé_(ňŕá 3č)" xfId="604"/>
    <cellStyle name="Bad" xfId="605"/>
    <cellStyle name="Calculation" xfId="606"/>
    <cellStyle name="Check Cell" xfId="607"/>
    <cellStyle name="Comma [0]_irl tel sep5" xfId="1437"/>
    <cellStyle name="Comma_irl tel sep5" xfId="1438"/>
    <cellStyle name="Comma0" xfId="608"/>
    <cellStyle name="Çŕůčňíűé" xfId="609"/>
    <cellStyle name="Currency [0]" xfId="610"/>
    <cellStyle name="Currency [0] 2" xfId="611"/>
    <cellStyle name="Currency [0] 2 2" xfId="612"/>
    <cellStyle name="Currency [0] 2 3" xfId="613"/>
    <cellStyle name="Currency [0] 2 4" xfId="614"/>
    <cellStyle name="Currency [0] 2 5" xfId="615"/>
    <cellStyle name="Currency [0] 2 6" xfId="616"/>
    <cellStyle name="Currency [0] 2 7" xfId="617"/>
    <cellStyle name="Currency [0] 2 8" xfId="618"/>
    <cellStyle name="Currency [0] 3" xfId="619"/>
    <cellStyle name="Currency [0] 3 2" xfId="620"/>
    <cellStyle name="Currency [0] 3 3" xfId="621"/>
    <cellStyle name="Currency [0] 3 4" xfId="622"/>
    <cellStyle name="Currency [0] 3 5" xfId="623"/>
    <cellStyle name="Currency [0] 3 6" xfId="624"/>
    <cellStyle name="Currency [0] 3 7" xfId="625"/>
    <cellStyle name="Currency [0] 3 8" xfId="626"/>
    <cellStyle name="Currency [0] 4" xfId="627"/>
    <cellStyle name="Currency [0] 4 2" xfId="628"/>
    <cellStyle name="Currency [0] 4 3" xfId="629"/>
    <cellStyle name="Currency [0] 4 4" xfId="630"/>
    <cellStyle name="Currency [0] 4 5" xfId="631"/>
    <cellStyle name="Currency [0] 4 6" xfId="632"/>
    <cellStyle name="Currency [0] 4 7" xfId="633"/>
    <cellStyle name="Currency [0] 4 8" xfId="634"/>
    <cellStyle name="Currency [0] 5" xfId="635"/>
    <cellStyle name="Currency [0] 5 2" xfId="636"/>
    <cellStyle name="Currency [0] 5 3" xfId="637"/>
    <cellStyle name="Currency [0] 5 4" xfId="638"/>
    <cellStyle name="Currency [0] 5 5" xfId="639"/>
    <cellStyle name="Currency [0] 5 6" xfId="640"/>
    <cellStyle name="Currency [0] 5 7" xfId="641"/>
    <cellStyle name="Currency [0] 5 8" xfId="642"/>
    <cellStyle name="Currency [0] 6" xfId="643"/>
    <cellStyle name="Currency [0] 6 2" xfId="644"/>
    <cellStyle name="Currency [0] 7" xfId="645"/>
    <cellStyle name="Currency [0] 7 2" xfId="646"/>
    <cellStyle name="Currency [0] 8" xfId="647"/>
    <cellStyle name="Currency [0] 8 2" xfId="648"/>
    <cellStyle name="Currency_irl tel sep5" xfId="1439"/>
    <cellStyle name="Currency0" xfId="649"/>
    <cellStyle name="currency1" xfId="5"/>
    <cellStyle name="Currency2" xfId="6"/>
    <cellStyle name="currency3" xfId="7"/>
    <cellStyle name="currency4" xfId="8"/>
    <cellStyle name="Date" xfId="650"/>
    <cellStyle name="Dates" xfId="651"/>
    <cellStyle name="E-mail" xfId="652"/>
    <cellStyle name="Euro" xfId="653"/>
    <cellStyle name="Explanatory Text" xfId="654"/>
    <cellStyle name="F2" xfId="655"/>
    <cellStyle name="F3" xfId="656"/>
    <cellStyle name="F4" xfId="657"/>
    <cellStyle name="F5" xfId="658"/>
    <cellStyle name="F6" xfId="659"/>
    <cellStyle name="F7" xfId="660"/>
    <cellStyle name="F8" xfId="661"/>
    <cellStyle name="Fixed" xfId="662"/>
    <cellStyle name="Followed Hyperlink" xfId="9"/>
    <cellStyle name="Good" xfId="663"/>
    <cellStyle name="Heading" xfId="664"/>
    <cellStyle name="Heading 1" xfId="665"/>
    <cellStyle name="Heading 2" xfId="666"/>
    <cellStyle name="Heading 3" xfId="667"/>
    <cellStyle name="Heading 4" xfId="668"/>
    <cellStyle name="Heading2" xfId="669"/>
    <cellStyle name="Îáű÷íűé__FES" xfId="670"/>
    <cellStyle name="Îňęđűâŕâřŕ˙ń˙ ăčďĺđńńűëęŕ" xfId="671"/>
    <cellStyle name="Input" xfId="672"/>
    <cellStyle name="Inputs" xfId="673"/>
    <cellStyle name="Inputs (const)" xfId="674"/>
    <cellStyle name="Inputs Co" xfId="675"/>
    <cellStyle name="Inputs_46EE.2011(v1.0)" xfId="676"/>
    <cellStyle name="Linked Cell" xfId="677"/>
    <cellStyle name="Neutral" xfId="678"/>
    <cellStyle name="normal" xfId="1"/>
    <cellStyle name="Normal 10" xfId="1409"/>
    <cellStyle name="Normal 2" xfId="679"/>
    <cellStyle name="normal 3" xfId="680"/>
    <cellStyle name="normal 4" xfId="681"/>
    <cellStyle name="normal 5" xfId="682"/>
    <cellStyle name="normal 6" xfId="683"/>
    <cellStyle name="normal 7" xfId="684"/>
    <cellStyle name="normal 8" xfId="685"/>
    <cellStyle name="normal 9" xfId="686"/>
    <cellStyle name="Normal_38" xfId="687"/>
    <cellStyle name="Normal1" xfId="10"/>
    <cellStyle name="Normal1 2" xfId="688"/>
    <cellStyle name="Normal2" xfId="6"/>
    <cellStyle name="normбlnм_laroux" xfId="689"/>
    <cellStyle name="Note" xfId="690"/>
    <cellStyle name="Ôčíŕíńîâűé [0]_(ňŕá 3č)" xfId="691"/>
    <cellStyle name="Ôčíŕíńîâűé_(ňŕá 3č)" xfId="692"/>
    <cellStyle name="Output" xfId="693"/>
    <cellStyle name="Percent1" xfId="6"/>
    <cellStyle name="Price_Body" xfId="694"/>
    <cellStyle name="SAPBEXaggData" xfId="695"/>
    <cellStyle name="SAPBEXaggDataEmph" xfId="696"/>
    <cellStyle name="SAPBEXaggItem" xfId="697"/>
    <cellStyle name="SAPBEXaggItemX" xfId="698"/>
    <cellStyle name="SAPBEXchaText" xfId="699"/>
    <cellStyle name="SAPBEXexcBad7" xfId="700"/>
    <cellStyle name="SAPBEXexcBad8" xfId="701"/>
    <cellStyle name="SAPBEXexcBad9" xfId="702"/>
    <cellStyle name="SAPBEXexcCritical4" xfId="703"/>
    <cellStyle name="SAPBEXexcCritical5" xfId="704"/>
    <cellStyle name="SAPBEXexcCritical6" xfId="705"/>
    <cellStyle name="SAPBEXexcGood1" xfId="706"/>
    <cellStyle name="SAPBEXexcGood2" xfId="707"/>
    <cellStyle name="SAPBEXexcGood3" xfId="708"/>
    <cellStyle name="SAPBEXfilterDrill" xfId="709"/>
    <cellStyle name="SAPBEXfilterItem" xfId="710"/>
    <cellStyle name="SAPBEXfilterText" xfId="711"/>
    <cellStyle name="SAPBEXformats" xfId="712"/>
    <cellStyle name="SAPBEXheaderItem" xfId="713"/>
    <cellStyle name="SAPBEXheaderText" xfId="714"/>
    <cellStyle name="SAPBEXHLevel0" xfId="715"/>
    <cellStyle name="SAPBEXHLevel0X" xfId="716"/>
    <cellStyle name="SAPBEXHLevel1" xfId="717"/>
    <cellStyle name="SAPBEXHLevel1X" xfId="718"/>
    <cellStyle name="SAPBEXHLevel2" xfId="719"/>
    <cellStyle name="SAPBEXHLevel2X" xfId="720"/>
    <cellStyle name="SAPBEXHLevel3" xfId="721"/>
    <cellStyle name="SAPBEXHLevel3X" xfId="722"/>
    <cellStyle name="SAPBEXinputData" xfId="723"/>
    <cellStyle name="SAPBEXresData" xfId="724"/>
    <cellStyle name="SAPBEXresDataEmph" xfId="725"/>
    <cellStyle name="SAPBEXresItem" xfId="726"/>
    <cellStyle name="SAPBEXresItemX" xfId="727"/>
    <cellStyle name="SAPBEXstdData" xfId="728"/>
    <cellStyle name="SAPBEXstdDataEmph" xfId="729"/>
    <cellStyle name="SAPBEXstdItem" xfId="730"/>
    <cellStyle name="SAPBEXstdItemX" xfId="731"/>
    <cellStyle name="SAPBEXtitle" xfId="732"/>
    <cellStyle name="SAPBEXundefined" xfId="733"/>
    <cellStyle name="Style 1" xfId="734"/>
    <cellStyle name="Table Heading" xfId="735"/>
    <cellStyle name="Title" xfId="736"/>
    <cellStyle name="Total" xfId="737"/>
    <cellStyle name="Warning Text" xfId="738"/>
    <cellStyle name="Zag1" xfId="1410"/>
    <cellStyle name="Акцент1 10" xfId="739"/>
    <cellStyle name="Акцент1 2" xfId="740"/>
    <cellStyle name="Акцент1 2 2" xfId="741"/>
    <cellStyle name="Акцент1 3" xfId="742"/>
    <cellStyle name="Акцент1 3 2" xfId="743"/>
    <cellStyle name="Акцент1 4" xfId="744"/>
    <cellStyle name="Акцент1 4 2" xfId="745"/>
    <cellStyle name="Акцент1 5" xfId="746"/>
    <cellStyle name="Акцент1 5 2" xfId="747"/>
    <cellStyle name="Акцент1 6" xfId="748"/>
    <cellStyle name="Акцент1 6 2" xfId="749"/>
    <cellStyle name="Акцент1 7" xfId="750"/>
    <cellStyle name="Акцент1 7 2" xfId="751"/>
    <cellStyle name="Акцент1 8" xfId="752"/>
    <cellStyle name="Акцент1 8 2" xfId="753"/>
    <cellStyle name="Акцент1 9" xfId="754"/>
    <cellStyle name="Акцент1 9 2" xfId="755"/>
    <cellStyle name="Акцент2 10" xfId="756"/>
    <cellStyle name="Акцент2 2" xfId="757"/>
    <cellStyle name="Акцент2 2 2" xfId="758"/>
    <cellStyle name="Акцент2 3" xfId="759"/>
    <cellStyle name="Акцент2 3 2" xfId="760"/>
    <cellStyle name="Акцент2 4" xfId="761"/>
    <cellStyle name="Акцент2 4 2" xfId="762"/>
    <cellStyle name="Акцент2 5" xfId="763"/>
    <cellStyle name="Акцент2 5 2" xfId="764"/>
    <cellStyle name="Акцент2 6" xfId="765"/>
    <cellStyle name="Акцент2 6 2" xfId="766"/>
    <cellStyle name="Акцент2 7" xfId="767"/>
    <cellStyle name="Акцент2 7 2" xfId="768"/>
    <cellStyle name="Акцент2 8" xfId="769"/>
    <cellStyle name="Акцент2 8 2" xfId="770"/>
    <cellStyle name="Акцент2 9" xfId="771"/>
    <cellStyle name="Акцент2 9 2" xfId="772"/>
    <cellStyle name="Акцент3 10" xfId="773"/>
    <cellStyle name="Акцент3 2" xfId="774"/>
    <cellStyle name="Акцент3 2 2" xfId="775"/>
    <cellStyle name="Акцент3 3" xfId="776"/>
    <cellStyle name="Акцент3 3 2" xfId="777"/>
    <cellStyle name="Акцент3 4" xfId="778"/>
    <cellStyle name="Акцент3 4 2" xfId="779"/>
    <cellStyle name="Акцент3 5" xfId="780"/>
    <cellStyle name="Акцент3 5 2" xfId="781"/>
    <cellStyle name="Акцент3 6" xfId="782"/>
    <cellStyle name="Акцент3 6 2" xfId="783"/>
    <cellStyle name="Акцент3 7" xfId="784"/>
    <cellStyle name="Акцент3 7 2" xfId="785"/>
    <cellStyle name="Акцент3 8" xfId="786"/>
    <cellStyle name="Акцент3 8 2" xfId="787"/>
    <cellStyle name="Акцент3 9" xfId="788"/>
    <cellStyle name="Акцент3 9 2" xfId="789"/>
    <cellStyle name="Акцент4 10" xfId="790"/>
    <cellStyle name="Акцент4 2" xfId="791"/>
    <cellStyle name="Акцент4 2 2" xfId="792"/>
    <cellStyle name="Акцент4 3" xfId="793"/>
    <cellStyle name="Акцент4 3 2" xfId="794"/>
    <cellStyle name="Акцент4 4" xfId="795"/>
    <cellStyle name="Акцент4 4 2" xfId="796"/>
    <cellStyle name="Акцент4 5" xfId="797"/>
    <cellStyle name="Акцент4 5 2" xfId="798"/>
    <cellStyle name="Акцент4 6" xfId="799"/>
    <cellStyle name="Акцент4 6 2" xfId="800"/>
    <cellStyle name="Акцент4 7" xfId="801"/>
    <cellStyle name="Акцент4 7 2" xfId="802"/>
    <cellStyle name="Акцент4 8" xfId="803"/>
    <cellStyle name="Акцент4 8 2" xfId="804"/>
    <cellStyle name="Акцент4 9" xfId="805"/>
    <cellStyle name="Акцент4 9 2" xfId="806"/>
    <cellStyle name="Акцент5 10" xfId="807"/>
    <cellStyle name="Акцент5 2" xfId="808"/>
    <cellStyle name="Акцент5 2 2" xfId="809"/>
    <cellStyle name="Акцент5 3" xfId="810"/>
    <cellStyle name="Акцент5 3 2" xfId="811"/>
    <cellStyle name="Акцент5 4" xfId="812"/>
    <cellStyle name="Акцент5 4 2" xfId="813"/>
    <cellStyle name="Акцент5 5" xfId="814"/>
    <cellStyle name="Акцент5 5 2" xfId="815"/>
    <cellStyle name="Акцент5 6" xfId="816"/>
    <cellStyle name="Акцент5 6 2" xfId="817"/>
    <cellStyle name="Акцент5 7" xfId="818"/>
    <cellStyle name="Акцент5 7 2" xfId="819"/>
    <cellStyle name="Акцент5 8" xfId="820"/>
    <cellStyle name="Акцент5 8 2" xfId="821"/>
    <cellStyle name="Акцент5 9" xfId="822"/>
    <cellStyle name="Акцент5 9 2" xfId="823"/>
    <cellStyle name="Акцент6 10" xfId="824"/>
    <cellStyle name="Акцент6 2" xfId="825"/>
    <cellStyle name="Акцент6 2 2" xfId="826"/>
    <cellStyle name="Акцент6 3" xfId="827"/>
    <cellStyle name="Акцент6 3 2" xfId="828"/>
    <cellStyle name="Акцент6 4" xfId="829"/>
    <cellStyle name="Акцент6 4 2" xfId="830"/>
    <cellStyle name="Акцент6 5" xfId="831"/>
    <cellStyle name="Акцент6 5 2" xfId="832"/>
    <cellStyle name="Акцент6 6" xfId="833"/>
    <cellStyle name="Акцент6 6 2" xfId="834"/>
    <cellStyle name="Акцент6 7" xfId="835"/>
    <cellStyle name="Акцент6 7 2" xfId="836"/>
    <cellStyle name="Акцент6 8" xfId="837"/>
    <cellStyle name="Акцент6 8 2" xfId="838"/>
    <cellStyle name="Акцент6 9" xfId="839"/>
    <cellStyle name="Акцент6 9 2" xfId="840"/>
    <cellStyle name="Беззащитный" xfId="841"/>
    <cellStyle name="Ввод  10" xfId="842"/>
    <cellStyle name="Ввод  2" xfId="843"/>
    <cellStyle name="Ввод  2 2" xfId="844"/>
    <cellStyle name="Ввод  2_46EE.2011(v1.0)" xfId="845"/>
    <cellStyle name="Ввод  3" xfId="846"/>
    <cellStyle name="Ввод  3 2" xfId="847"/>
    <cellStyle name="Ввод  3_46EE.2011(v1.0)" xfId="848"/>
    <cellStyle name="Ввод  4" xfId="849"/>
    <cellStyle name="Ввод  4 2" xfId="850"/>
    <cellStyle name="Ввод  4_46EE.2011(v1.0)" xfId="851"/>
    <cellStyle name="Ввод  5" xfId="852"/>
    <cellStyle name="Ввод  5 2" xfId="853"/>
    <cellStyle name="Ввод  5_46EE.2011(v1.0)" xfId="854"/>
    <cellStyle name="Ввод  6" xfId="855"/>
    <cellStyle name="Ввод  6 2" xfId="856"/>
    <cellStyle name="Ввод  6_46EE.2011(v1.0)" xfId="857"/>
    <cellStyle name="Ввод  7" xfId="858"/>
    <cellStyle name="Ввод  7 2" xfId="859"/>
    <cellStyle name="Ввод  7_46EE.2011(v1.0)" xfId="860"/>
    <cellStyle name="Ввод  8" xfId="861"/>
    <cellStyle name="Ввод  8 2" xfId="862"/>
    <cellStyle name="Ввод  8_46EE.2011(v1.0)" xfId="863"/>
    <cellStyle name="Ввод  9" xfId="864"/>
    <cellStyle name="Ввод  9 2" xfId="865"/>
    <cellStyle name="Ввод  9_46EE.2011(v1.0)" xfId="866"/>
    <cellStyle name="Вывод 10" xfId="867"/>
    <cellStyle name="Вывод 2" xfId="868"/>
    <cellStyle name="Вывод 2 2" xfId="869"/>
    <cellStyle name="Вывод 2_46EE.2011(v1.0)" xfId="870"/>
    <cellStyle name="Вывод 3" xfId="871"/>
    <cellStyle name="Вывод 3 2" xfId="872"/>
    <cellStyle name="Вывод 3_46EE.2011(v1.0)" xfId="873"/>
    <cellStyle name="Вывод 4" xfId="874"/>
    <cellStyle name="Вывод 4 2" xfId="875"/>
    <cellStyle name="Вывод 4_46EE.2011(v1.0)" xfId="876"/>
    <cellStyle name="Вывод 5" xfId="877"/>
    <cellStyle name="Вывод 5 2" xfId="878"/>
    <cellStyle name="Вывод 5_46EE.2011(v1.0)" xfId="879"/>
    <cellStyle name="Вывод 6" xfId="880"/>
    <cellStyle name="Вывод 6 2" xfId="881"/>
    <cellStyle name="Вывод 6_46EE.2011(v1.0)" xfId="882"/>
    <cellStyle name="Вывод 7" xfId="883"/>
    <cellStyle name="Вывод 7 2" xfId="884"/>
    <cellStyle name="Вывод 7_46EE.2011(v1.0)" xfId="885"/>
    <cellStyle name="Вывод 8" xfId="886"/>
    <cellStyle name="Вывод 8 2" xfId="887"/>
    <cellStyle name="Вывод 8_46EE.2011(v1.0)" xfId="888"/>
    <cellStyle name="Вывод 9" xfId="889"/>
    <cellStyle name="Вывод 9 2" xfId="890"/>
    <cellStyle name="Вывод 9_46EE.2011(v1.0)" xfId="891"/>
    <cellStyle name="Вычисление 10" xfId="892"/>
    <cellStyle name="Вычисление 2" xfId="893"/>
    <cellStyle name="Вычисление 2 2" xfId="894"/>
    <cellStyle name="Вычисление 2_46EE.2011(v1.0)" xfId="895"/>
    <cellStyle name="Вычисление 3" xfId="896"/>
    <cellStyle name="Вычисление 3 2" xfId="897"/>
    <cellStyle name="Вычисление 3_46EE.2011(v1.0)" xfId="898"/>
    <cellStyle name="Вычисление 4" xfId="899"/>
    <cellStyle name="Вычисление 4 2" xfId="900"/>
    <cellStyle name="Вычисление 4_46EE.2011(v1.0)" xfId="901"/>
    <cellStyle name="Вычисление 5" xfId="902"/>
    <cellStyle name="Вычисление 5 2" xfId="903"/>
    <cellStyle name="Вычисление 5_46EE.2011(v1.0)" xfId="904"/>
    <cellStyle name="Вычисление 6" xfId="905"/>
    <cellStyle name="Вычисление 6 2" xfId="906"/>
    <cellStyle name="Вычисление 6_46EE.2011(v1.0)" xfId="907"/>
    <cellStyle name="Вычисление 7" xfId="908"/>
    <cellStyle name="Вычисление 7 2" xfId="909"/>
    <cellStyle name="Вычисление 7_46EE.2011(v1.0)" xfId="910"/>
    <cellStyle name="Вычисление 8" xfId="911"/>
    <cellStyle name="Вычисление 8 2" xfId="912"/>
    <cellStyle name="Вычисление 8_46EE.2011(v1.0)" xfId="913"/>
    <cellStyle name="Вычисление 9" xfId="914"/>
    <cellStyle name="Вычисление 9 2" xfId="915"/>
    <cellStyle name="Вычисление 9_46EE.2011(v1.0)" xfId="916"/>
    <cellStyle name="Гиперссылка 2" xfId="917"/>
    <cellStyle name="Гиперссылка 3" xfId="918"/>
    <cellStyle name="ДАТА" xfId="919"/>
    <cellStyle name="ДАТА 2" xfId="920"/>
    <cellStyle name="ДАТА 3" xfId="921"/>
    <cellStyle name="ДАТА 4" xfId="922"/>
    <cellStyle name="ДАТА 5" xfId="923"/>
    <cellStyle name="ДАТА 6" xfId="924"/>
    <cellStyle name="ДАТА 7" xfId="925"/>
    <cellStyle name="ДАТА 8" xfId="926"/>
    <cellStyle name="ДАТА_1" xfId="927"/>
    <cellStyle name="Денежный 2" xfId="928"/>
    <cellStyle name="Заголовок" xfId="929"/>
    <cellStyle name="Заголовок 1 10" xfId="930"/>
    <cellStyle name="Заголовок 1 2" xfId="931"/>
    <cellStyle name="Заголовок 1 2 2" xfId="932"/>
    <cellStyle name="Заголовок 1 2_46EE.2011(v1.0)" xfId="933"/>
    <cellStyle name="Заголовок 1 3" xfId="934"/>
    <cellStyle name="Заголовок 1 3 2" xfId="935"/>
    <cellStyle name="Заголовок 1 3_46EE.2011(v1.0)" xfId="936"/>
    <cellStyle name="Заголовок 1 4" xfId="937"/>
    <cellStyle name="Заголовок 1 4 2" xfId="938"/>
    <cellStyle name="Заголовок 1 4_46EE.2011(v1.0)" xfId="939"/>
    <cellStyle name="Заголовок 1 5" xfId="940"/>
    <cellStyle name="Заголовок 1 5 2" xfId="941"/>
    <cellStyle name="Заголовок 1 5_46EE.2011(v1.0)" xfId="942"/>
    <cellStyle name="Заголовок 1 6" xfId="943"/>
    <cellStyle name="Заголовок 1 6 2" xfId="944"/>
    <cellStyle name="Заголовок 1 6_46EE.2011(v1.0)" xfId="945"/>
    <cellStyle name="Заголовок 1 7" xfId="946"/>
    <cellStyle name="Заголовок 1 7 2" xfId="947"/>
    <cellStyle name="Заголовок 1 7_46EE.2011(v1.0)" xfId="948"/>
    <cellStyle name="Заголовок 1 8" xfId="949"/>
    <cellStyle name="Заголовок 1 8 2" xfId="950"/>
    <cellStyle name="Заголовок 1 8_46EE.2011(v1.0)" xfId="951"/>
    <cellStyle name="Заголовок 1 9" xfId="952"/>
    <cellStyle name="Заголовок 1 9 2" xfId="953"/>
    <cellStyle name="Заголовок 1 9_46EE.2011(v1.0)" xfId="954"/>
    <cellStyle name="Заголовок 2 10" xfId="955"/>
    <cellStyle name="Заголовок 2 2" xfId="956"/>
    <cellStyle name="Заголовок 2 2 2" xfId="957"/>
    <cellStyle name="Заголовок 2 2_46EE.2011(v1.0)" xfId="958"/>
    <cellStyle name="Заголовок 2 3" xfId="959"/>
    <cellStyle name="Заголовок 2 3 2" xfId="960"/>
    <cellStyle name="Заголовок 2 3_46EE.2011(v1.0)" xfId="961"/>
    <cellStyle name="Заголовок 2 4" xfId="962"/>
    <cellStyle name="Заголовок 2 4 2" xfId="963"/>
    <cellStyle name="Заголовок 2 4_46EE.2011(v1.0)" xfId="964"/>
    <cellStyle name="Заголовок 2 5" xfId="965"/>
    <cellStyle name="Заголовок 2 5 2" xfId="966"/>
    <cellStyle name="Заголовок 2 5_46EE.2011(v1.0)" xfId="967"/>
    <cellStyle name="Заголовок 2 6" xfId="968"/>
    <cellStyle name="Заголовок 2 6 2" xfId="969"/>
    <cellStyle name="Заголовок 2 6_46EE.2011(v1.0)" xfId="970"/>
    <cellStyle name="Заголовок 2 7" xfId="971"/>
    <cellStyle name="Заголовок 2 7 2" xfId="972"/>
    <cellStyle name="Заголовок 2 7_46EE.2011(v1.0)" xfId="973"/>
    <cellStyle name="Заголовок 2 8" xfId="974"/>
    <cellStyle name="Заголовок 2 8 2" xfId="975"/>
    <cellStyle name="Заголовок 2 8_46EE.2011(v1.0)" xfId="976"/>
    <cellStyle name="Заголовок 2 9" xfId="977"/>
    <cellStyle name="Заголовок 2 9 2" xfId="978"/>
    <cellStyle name="Заголовок 2 9_46EE.2011(v1.0)" xfId="979"/>
    <cellStyle name="Заголовок 3 10" xfId="980"/>
    <cellStyle name="Заголовок 3 2" xfId="981"/>
    <cellStyle name="Заголовок 3 2 2" xfId="982"/>
    <cellStyle name="Заголовок 3 2_46EE.2011(v1.0)" xfId="983"/>
    <cellStyle name="Заголовок 3 3" xfId="984"/>
    <cellStyle name="Заголовок 3 3 2" xfId="985"/>
    <cellStyle name="Заголовок 3 3_46EE.2011(v1.0)" xfId="986"/>
    <cellStyle name="Заголовок 3 4" xfId="987"/>
    <cellStyle name="Заголовок 3 4 2" xfId="988"/>
    <cellStyle name="Заголовок 3 4_46EE.2011(v1.0)" xfId="989"/>
    <cellStyle name="Заголовок 3 5" xfId="990"/>
    <cellStyle name="Заголовок 3 5 2" xfId="991"/>
    <cellStyle name="Заголовок 3 5_46EE.2011(v1.0)" xfId="992"/>
    <cellStyle name="Заголовок 3 6" xfId="993"/>
    <cellStyle name="Заголовок 3 6 2" xfId="994"/>
    <cellStyle name="Заголовок 3 6_46EE.2011(v1.0)" xfId="995"/>
    <cellStyle name="Заголовок 3 7" xfId="996"/>
    <cellStyle name="Заголовок 3 7 2" xfId="997"/>
    <cellStyle name="Заголовок 3 7_46EE.2011(v1.0)" xfId="998"/>
    <cellStyle name="Заголовок 3 8" xfId="999"/>
    <cellStyle name="Заголовок 3 8 2" xfId="1000"/>
    <cellStyle name="Заголовок 3 8_46EE.2011(v1.0)" xfId="1001"/>
    <cellStyle name="Заголовок 3 9" xfId="1002"/>
    <cellStyle name="Заголовок 3 9 2" xfId="1003"/>
    <cellStyle name="Заголовок 3 9_46EE.2011(v1.0)" xfId="1004"/>
    <cellStyle name="Заголовок 4 10" xfId="1005"/>
    <cellStyle name="Заголовок 4 2" xfId="1006"/>
    <cellStyle name="Заголовок 4 2 2" xfId="1007"/>
    <cellStyle name="Заголовок 4 3" xfId="1008"/>
    <cellStyle name="Заголовок 4 3 2" xfId="1009"/>
    <cellStyle name="Заголовок 4 4" xfId="1010"/>
    <cellStyle name="Заголовок 4 4 2" xfId="1011"/>
    <cellStyle name="Заголовок 4 5" xfId="1012"/>
    <cellStyle name="Заголовок 4 5 2" xfId="1013"/>
    <cellStyle name="Заголовок 4 6" xfId="1014"/>
    <cellStyle name="Заголовок 4 6 2" xfId="1015"/>
    <cellStyle name="Заголовок 4 7" xfId="1016"/>
    <cellStyle name="Заголовок 4 7 2" xfId="1017"/>
    <cellStyle name="Заголовок 4 8" xfId="1018"/>
    <cellStyle name="Заголовок 4 8 2" xfId="1019"/>
    <cellStyle name="Заголовок 4 9" xfId="1020"/>
    <cellStyle name="Заголовок 4 9 2" xfId="1021"/>
    <cellStyle name="ЗАГОЛОВОК1" xfId="1022"/>
    <cellStyle name="ЗАГОЛОВОК2" xfId="1023"/>
    <cellStyle name="ЗаголовокСтолбца" xfId="1024"/>
    <cellStyle name="Защитный" xfId="1025"/>
    <cellStyle name="Значение" xfId="1026"/>
    <cellStyle name="Зоголовок" xfId="1027"/>
    <cellStyle name="Итог 10" xfId="1028"/>
    <cellStyle name="Итог 2" xfId="1029"/>
    <cellStyle name="Итог 2 2" xfId="1030"/>
    <cellStyle name="Итог 2_46EE.2011(v1.0)" xfId="1031"/>
    <cellStyle name="Итог 3" xfId="1032"/>
    <cellStyle name="Итог 3 2" xfId="1033"/>
    <cellStyle name="Итог 3_46EE.2011(v1.0)" xfId="1034"/>
    <cellStyle name="Итог 4" xfId="1035"/>
    <cellStyle name="Итог 4 2" xfId="1036"/>
    <cellStyle name="Итог 4_46EE.2011(v1.0)" xfId="1037"/>
    <cellStyle name="Итог 5" xfId="1038"/>
    <cellStyle name="Итог 5 2" xfId="1039"/>
    <cellStyle name="Итог 5_46EE.2011(v1.0)" xfId="1040"/>
    <cellStyle name="Итог 6" xfId="1041"/>
    <cellStyle name="Итог 6 2" xfId="1042"/>
    <cellStyle name="Итог 6_46EE.2011(v1.0)" xfId="1043"/>
    <cellStyle name="Итог 7" xfId="1044"/>
    <cellStyle name="Итог 7 2" xfId="1045"/>
    <cellStyle name="Итог 7_46EE.2011(v1.0)" xfId="1046"/>
    <cellStyle name="Итог 8" xfId="1047"/>
    <cellStyle name="Итог 8 2" xfId="1048"/>
    <cellStyle name="Итог 8_46EE.2011(v1.0)" xfId="1049"/>
    <cellStyle name="Итог 9" xfId="1050"/>
    <cellStyle name="Итог 9 2" xfId="1051"/>
    <cellStyle name="Итог 9_46EE.2011(v1.0)" xfId="1052"/>
    <cellStyle name="Итого" xfId="1053"/>
    <cellStyle name="ИТОГОВЫЙ" xfId="1054"/>
    <cellStyle name="ИТОГОВЫЙ 2" xfId="1055"/>
    <cellStyle name="ИТОГОВЫЙ 3" xfId="1056"/>
    <cellStyle name="ИТОГОВЫЙ 4" xfId="1057"/>
    <cellStyle name="ИТОГОВЫЙ 5" xfId="1058"/>
    <cellStyle name="ИТОГОВЫЙ 6" xfId="1059"/>
    <cellStyle name="ИТОГОВЫЙ 7" xfId="1060"/>
    <cellStyle name="ИТОГОВЫЙ 8" xfId="1061"/>
    <cellStyle name="ИТОГОВЫЙ_1" xfId="1062"/>
    <cellStyle name="Контрольная ячейка 10" xfId="1063"/>
    <cellStyle name="Контрольная ячейка 2" xfId="1064"/>
    <cellStyle name="Контрольная ячейка 2 2" xfId="1065"/>
    <cellStyle name="Контрольная ячейка 2_46EE.2011(v1.0)" xfId="1066"/>
    <cellStyle name="Контрольная ячейка 3" xfId="1067"/>
    <cellStyle name="Контрольная ячейка 3 2" xfId="1068"/>
    <cellStyle name="Контрольная ячейка 3_46EE.2011(v1.0)" xfId="1069"/>
    <cellStyle name="Контрольная ячейка 4" xfId="1070"/>
    <cellStyle name="Контрольная ячейка 4 2" xfId="1071"/>
    <cellStyle name="Контрольная ячейка 4_46EE.2011(v1.0)" xfId="1072"/>
    <cellStyle name="Контрольная ячейка 5" xfId="1073"/>
    <cellStyle name="Контрольная ячейка 5 2" xfId="1074"/>
    <cellStyle name="Контрольная ячейка 5_46EE.2011(v1.0)" xfId="1075"/>
    <cellStyle name="Контрольная ячейка 6" xfId="1076"/>
    <cellStyle name="Контрольная ячейка 6 2" xfId="1077"/>
    <cellStyle name="Контрольная ячейка 6_46EE.2011(v1.0)" xfId="1078"/>
    <cellStyle name="Контрольная ячейка 7" xfId="1079"/>
    <cellStyle name="Контрольная ячейка 7 2" xfId="1080"/>
    <cellStyle name="Контрольная ячейка 7_46EE.2011(v1.0)" xfId="1081"/>
    <cellStyle name="Контрольная ячейка 8" xfId="1082"/>
    <cellStyle name="Контрольная ячейка 8 2" xfId="1083"/>
    <cellStyle name="Контрольная ячейка 8_46EE.2011(v1.0)" xfId="1084"/>
    <cellStyle name="Контрольная ячейка 9" xfId="1085"/>
    <cellStyle name="Контрольная ячейка 9 2" xfId="1086"/>
    <cellStyle name="Контрольная ячейка 9_46EE.2011(v1.0)" xfId="1087"/>
    <cellStyle name="Мои наименования показателей" xfId="1090"/>
    <cellStyle name="Мои наименования показателей 2" xfId="1091"/>
    <cellStyle name="Мои наименования показателей 2 2" xfId="1092"/>
    <cellStyle name="Мои наименования показателей 2 3" xfId="1093"/>
    <cellStyle name="Мои наименования показателей 2 4" xfId="1094"/>
    <cellStyle name="Мои наименования показателей 2 5" xfId="1095"/>
    <cellStyle name="Мои наименования показателей 2 6" xfId="1096"/>
    <cellStyle name="Мои наименования показателей 2 7" xfId="1097"/>
    <cellStyle name="Мои наименования показателей 2 8" xfId="1098"/>
    <cellStyle name="Мои наименования показателей 2_1" xfId="1099"/>
    <cellStyle name="Мои наименования показателей 3" xfId="1100"/>
    <cellStyle name="Мои наименования показателей 3 2" xfId="1101"/>
    <cellStyle name="Мои наименования показателей 3 3" xfId="1102"/>
    <cellStyle name="Мои наименования показателей 3 4" xfId="1103"/>
    <cellStyle name="Мои наименования показателей 3 5" xfId="1104"/>
    <cellStyle name="Мои наименования показателей 3 6" xfId="1105"/>
    <cellStyle name="Мои наименования показателей 3 7" xfId="1106"/>
    <cellStyle name="Мои наименования показателей 3 8" xfId="1107"/>
    <cellStyle name="Мои наименования показателей 3_1" xfId="1108"/>
    <cellStyle name="Мои наименования показателей 4" xfId="1109"/>
    <cellStyle name="Мои наименования показателей 4 2" xfId="1110"/>
    <cellStyle name="Мои наименования показателей 4 3" xfId="1111"/>
    <cellStyle name="Мои наименования показателей 4 4" xfId="1112"/>
    <cellStyle name="Мои наименования показателей 4 5" xfId="1113"/>
    <cellStyle name="Мои наименования показателей 4 6" xfId="1114"/>
    <cellStyle name="Мои наименования показателей 4 7" xfId="1115"/>
    <cellStyle name="Мои наименования показателей 4 8" xfId="1116"/>
    <cellStyle name="Мои наименования показателей 4_1" xfId="1117"/>
    <cellStyle name="Мои наименования показателей 5" xfId="1118"/>
    <cellStyle name="Мои наименования показателей 5 2" xfId="1119"/>
    <cellStyle name="Мои наименования показателей 5 3" xfId="1120"/>
    <cellStyle name="Мои наименования показателей 5 4" xfId="1121"/>
    <cellStyle name="Мои наименования показателей 5 5" xfId="1122"/>
    <cellStyle name="Мои наименования показателей 5 6" xfId="1123"/>
    <cellStyle name="Мои наименования показателей 5 7" xfId="1124"/>
    <cellStyle name="Мои наименования показателей 5 8" xfId="1125"/>
    <cellStyle name="Мои наименования показателей 5_1" xfId="1126"/>
    <cellStyle name="Мои наименования показателей 6" xfId="1127"/>
    <cellStyle name="Мои наименования показателей 6 2" xfId="1128"/>
    <cellStyle name="Мои наименования показателей 6_46EE.2011(v1.0)" xfId="1129"/>
    <cellStyle name="Мои наименования показателей 7" xfId="1130"/>
    <cellStyle name="Мои наименования показателей 7 2" xfId="1131"/>
    <cellStyle name="Мои наименования показателей 7_46EE.2011(v1.0)" xfId="1132"/>
    <cellStyle name="Мои наименования показателей 8" xfId="1133"/>
    <cellStyle name="Мои наименования показателей 8 2" xfId="1134"/>
    <cellStyle name="Мои наименования показателей 8_46EE.2011(v1.0)" xfId="1135"/>
    <cellStyle name="Мои наименования показателей_46EE.2011(v1.2)" xfId="1136"/>
    <cellStyle name="Мой заголовок" xfId="1088"/>
    <cellStyle name="Мой заголовок листа" xfId="1089"/>
    <cellStyle name="назв фил" xfId="1137"/>
    <cellStyle name="Название 10" xfId="1138"/>
    <cellStyle name="Название 2" xfId="1139"/>
    <cellStyle name="Название 2 2" xfId="1140"/>
    <cellStyle name="Название 3" xfId="1141"/>
    <cellStyle name="Название 3 2" xfId="1142"/>
    <cellStyle name="Название 4" xfId="1143"/>
    <cellStyle name="Название 4 2" xfId="1144"/>
    <cellStyle name="Название 5" xfId="1145"/>
    <cellStyle name="Название 5 2" xfId="1146"/>
    <cellStyle name="Название 6" xfId="1147"/>
    <cellStyle name="Название 6 2" xfId="1148"/>
    <cellStyle name="Название 7" xfId="1149"/>
    <cellStyle name="Название 7 2" xfId="1150"/>
    <cellStyle name="Название 8" xfId="1151"/>
    <cellStyle name="Название 8 2" xfId="1152"/>
    <cellStyle name="Название 9" xfId="1153"/>
    <cellStyle name="Название 9 2" xfId="1154"/>
    <cellStyle name="Нейтральный 10" xfId="1155"/>
    <cellStyle name="Нейтральный 2" xfId="1156"/>
    <cellStyle name="Нейтральный 2 2" xfId="1157"/>
    <cellStyle name="Нейтральный 3" xfId="1158"/>
    <cellStyle name="Нейтральный 3 2" xfId="1159"/>
    <cellStyle name="Нейтральный 4" xfId="1160"/>
    <cellStyle name="Нейтральный 4 2" xfId="1161"/>
    <cellStyle name="Нейтральный 5" xfId="1162"/>
    <cellStyle name="Нейтральный 5 2" xfId="1163"/>
    <cellStyle name="Нейтральный 6" xfId="1164"/>
    <cellStyle name="Нейтральный 6 2" xfId="1165"/>
    <cellStyle name="Нейтральный 7" xfId="1166"/>
    <cellStyle name="Нейтральный 7 2" xfId="1167"/>
    <cellStyle name="Нейтральный 8" xfId="1168"/>
    <cellStyle name="Нейтральный 8 2" xfId="1169"/>
    <cellStyle name="Нейтральный 9" xfId="1170"/>
    <cellStyle name="Нейтральный 9 2" xfId="1171"/>
    <cellStyle name="Обычный" xfId="0" builtinId="0"/>
    <cellStyle name="Обычный 10" xfId="11"/>
    <cellStyle name="Обычный 10 10 2" xfId="1411"/>
    <cellStyle name="Обычный 10 2" xfId="1172"/>
    <cellStyle name="Обычный 11" xfId="1173"/>
    <cellStyle name="Обычный 11 2 2" xfId="1412"/>
    <cellStyle name="Обычный 12" xfId="1174"/>
    <cellStyle name="Обычный 12 4" xfId="1464"/>
    <cellStyle name="Обычный 13" xfId="1405"/>
    <cellStyle name="Обычный 14" xfId="1413"/>
    <cellStyle name="Обычный 15" xfId="1468"/>
    <cellStyle name="Обычный 16" xfId="12"/>
    <cellStyle name="Обычный 16 2" xfId="1414"/>
    <cellStyle name="Обычный 17" xfId="15"/>
    <cellStyle name="Обычный 2" xfId="13"/>
    <cellStyle name="Обычный 2 13 2" xfId="1415"/>
    <cellStyle name="Обычный 2 2" xfId="1176"/>
    <cellStyle name="Обычный 2 2 2" xfId="1177"/>
    <cellStyle name="Обычный 2 2 2 2 2" xfId="1416"/>
    <cellStyle name="Обычный 2 2 3" xfId="1465"/>
    <cellStyle name="Обычный 2 2 3 2 2" xfId="1417"/>
    <cellStyle name="Обычный 2 2_46EE.2011(v1.0)" xfId="1178"/>
    <cellStyle name="Обычный 2 3" xfId="1179"/>
    <cellStyle name="Обычный 2 3 2" xfId="1180"/>
    <cellStyle name="Обычный 2 3_46EE.2011(v1.0)" xfId="1181"/>
    <cellStyle name="Обычный 2 4" xfId="1182"/>
    <cellStyle name="Обычный 2 4 2" xfId="1183"/>
    <cellStyle name="Обычный 2 4_46EE.2011(v1.0)" xfId="1184"/>
    <cellStyle name="Обычный 2 5" xfId="1185"/>
    <cellStyle name="Обычный 2 5 2" xfId="1186"/>
    <cellStyle name="Обычный 2 5_46EE.2011(v1.0)" xfId="1187"/>
    <cellStyle name="Обычный 2 6" xfId="1188"/>
    <cellStyle name="Обычный 2 6 2" xfId="1189"/>
    <cellStyle name="Обычный 2 6_46EE.2011(v1.0)" xfId="1190"/>
    <cellStyle name="Обычный 2 7" xfId="1406"/>
    <cellStyle name="Обычный 2 8" xfId="1466"/>
    <cellStyle name="Обычный 2 9" xfId="1175"/>
    <cellStyle name="Обычный 2_1" xfId="1191"/>
    <cellStyle name="Обычный 3" xfId="1192"/>
    <cellStyle name="Обычный 3 15 2" xfId="1418"/>
    <cellStyle name="Обычный 3 2" xfId="1419"/>
    <cellStyle name="Обычный 3 2 5" xfId="1420"/>
    <cellStyle name="Обычный 3 3" xfId="1421"/>
    <cellStyle name="Обычный 3 4" xfId="1463"/>
    <cellStyle name="Обычный 4" xfId="1193"/>
    <cellStyle name="Обычный 4 12" xfId="1422"/>
    <cellStyle name="Обычный 4 2" xfId="1194"/>
    <cellStyle name="Обычный 4_ARMRAZR" xfId="1195"/>
    <cellStyle name="Обычный 41" xfId="1408"/>
    <cellStyle name="Обычный 43 2 2" xfId="1423"/>
    <cellStyle name="Обычный 44 2" xfId="1424"/>
    <cellStyle name="Обычный 5" xfId="1196"/>
    <cellStyle name="Обычный 6" xfId="1197"/>
    <cellStyle name="Обычный 7" xfId="1198"/>
    <cellStyle name="Обычный 8" xfId="1199"/>
    <cellStyle name="Обычный 9" xfId="1200"/>
    <cellStyle name="Обычный 9 10 2" xfId="1425"/>
    <cellStyle name="Открывавшаяся гиперссылка" xfId="14"/>
    <cellStyle name="Плохой 10" xfId="1201"/>
    <cellStyle name="Плохой 2" xfId="1202"/>
    <cellStyle name="Плохой 2 2" xfId="1203"/>
    <cellStyle name="Плохой 3" xfId="1204"/>
    <cellStyle name="Плохой 3 2" xfId="1205"/>
    <cellStyle name="Плохой 4" xfId="1206"/>
    <cellStyle name="Плохой 4 2" xfId="1207"/>
    <cellStyle name="Плохой 5" xfId="1208"/>
    <cellStyle name="Плохой 5 2" xfId="1209"/>
    <cellStyle name="Плохой 6" xfId="1210"/>
    <cellStyle name="Плохой 6 2" xfId="1211"/>
    <cellStyle name="Плохой 7" xfId="1212"/>
    <cellStyle name="Плохой 7 2" xfId="1213"/>
    <cellStyle name="Плохой 8" xfId="1214"/>
    <cellStyle name="Плохой 8 2" xfId="1215"/>
    <cellStyle name="Плохой 9" xfId="1216"/>
    <cellStyle name="Плохой 9 2" xfId="1217"/>
    <cellStyle name="По центру с переносом" xfId="1218"/>
    <cellStyle name="По ширине с переносом" xfId="1219"/>
    <cellStyle name="Поле ввода" xfId="1220"/>
    <cellStyle name="Пояснение 10" xfId="1221"/>
    <cellStyle name="Пояснение 2" xfId="1222"/>
    <cellStyle name="Пояснение 2 2" xfId="1223"/>
    <cellStyle name="Пояснение 3" xfId="1224"/>
    <cellStyle name="Пояснение 3 2" xfId="1225"/>
    <cellStyle name="Пояснение 4" xfId="1226"/>
    <cellStyle name="Пояснение 4 2" xfId="1227"/>
    <cellStyle name="Пояснение 5" xfId="1228"/>
    <cellStyle name="Пояснение 5 2" xfId="1229"/>
    <cellStyle name="Пояснение 6" xfId="1230"/>
    <cellStyle name="Пояснение 6 2" xfId="1231"/>
    <cellStyle name="Пояснение 7" xfId="1232"/>
    <cellStyle name="Пояснение 7 2" xfId="1233"/>
    <cellStyle name="Пояснение 8" xfId="1234"/>
    <cellStyle name="Пояснение 8 2" xfId="1235"/>
    <cellStyle name="Пояснение 9" xfId="1236"/>
    <cellStyle name="Пояснение 9 2" xfId="1237"/>
    <cellStyle name="Примечание 10" xfId="1238"/>
    <cellStyle name="Примечание 10 2" xfId="1239"/>
    <cellStyle name="Примечание 10_46EE.2011(v1.0)" xfId="1240"/>
    <cellStyle name="Примечание 11" xfId="1241"/>
    <cellStyle name="Примечание 11 2" xfId="1242"/>
    <cellStyle name="Примечание 11_46EE.2011(v1.0)" xfId="1243"/>
    <cellStyle name="Примечание 12" xfId="1244"/>
    <cellStyle name="Примечание 12 2" xfId="1245"/>
    <cellStyle name="Примечание 12_46EE.2011(v1.0)" xfId="1246"/>
    <cellStyle name="Примечание 13" xfId="1247"/>
    <cellStyle name="Примечание 2" xfId="1248"/>
    <cellStyle name="Примечание 2 2" xfId="1249"/>
    <cellStyle name="Примечание 2 3" xfId="1250"/>
    <cellStyle name="Примечание 2 4" xfId="1251"/>
    <cellStyle name="Примечание 2 5" xfId="1252"/>
    <cellStyle name="Примечание 2 6" xfId="1253"/>
    <cellStyle name="Примечание 2 7" xfId="1254"/>
    <cellStyle name="Примечание 2 8" xfId="1255"/>
    <cellStyle name="Примечание 2_46EE.2011(v1.0)" xfId="1256"/>
    <cellStyle name="Примечание 3" xfId="1257"/>
    <cellStyle name="Примечание 3 2" xfId="1258"/>
    <cellStyle name="Примечание 3 3" xfId="1259"/>
    <cellStyle name="Примечание 3 4" xfId="1260"/>
    <cellStyle name="Примечание 3 5" xfId="1261"/>
    <cellStyle name="Примечание 3 6" xfId="1262"/>
    <cellStyle name="Примечание 3 7" xfId="1263"/>
    <cellStyle name="Примечание 3 8" xfId="1264"/>
    <cellStyle name="Примечание 3_46EE.2011(v1.0)" xfId="1265"/>
    <cellStyle name="Примечание 4" xfId="1266"/>
    <cellStyle name="Примечание 4 2" xfId="1267"/>
    <cellStyle name="Примечание 4 3" xfId="1268"/>
    <cellStyle name="Примечание 4 4" xfId="1269"/>
    <cellStyle name="Примечание 4 5" xfId="1270"/>
    <cellStyle name="Примечание 4 6" xfId="1271"/>
    <cellStyle name="Примечание 4 7" xfId="1272"/>
    <cellStyle name="Примечание 4 8" xfId="1273"/>
    <cellStyle name="Примечание 4_46EE.2011(v1.0)" xfId="1274"/>
    <cellStyle name="Примечание 5" xfId="1275"/>
    <cellStyle name="Примечание 5 2" xfId="1276"/>
    <cellStyle name="Примечание 5 3" xfId="1277"/>
    <cellStyle name="Примечание 5 4" xfId="1278"/>
    <cellStyle name="Примечание 5 5" xfId="1279"/>
    <cellStyle name="Примечание 5 6" xfId="1280"/>
    <cellStyle name="Примечание 5 7" xfId="1281"/>
    <cellStyle name="Примечание 5 8" xfId="1282"/>
    <cellStyle name="Примечание 5_46EE.2011(v1.0)" xfId="1283"/>
    <cellStyle name="Примечание 6" xfId="1284"/>
    <cellStyle name="Примечание 6 2" xfId="1285"/>
    <cellStyle name="Примечание 6_46EE.2011(v1.0)" xfId="1286"/>
    <cellStyle name="Примечание 7" xfId="1287"/>
    <cellStyle name="Примечание 7 2" xfId="1288"/>
    <cellStyle name="Примечание 7_46EE.2011(v1.0)" xfId="1289"/>
    <cellStyle name="Примечание 8" xfId="1290"/>
    <cellStyle name="Примечание 8 2" xfId="1291"/>
    <cellStyle name="Примечание 8_46EE.2011(v1.0)" xfId="1292"/>
    <cellStyle name="Примечание 9" xfId="1293"/>
    <cellStyle name="Примечание 9 2" xfId="1294"/>
    <cellStyle name="Примечание 9_46EE.2011(v1.0)" xfId="1295"/>
    <cellStyle name="Процентный 2" xfId="1296"/>
    <cellStyle name="Процентный 2 2" xfId="1297"/>
    <cellStyle name="Процентный 2 3" xfId="1298"/>
    <cellStyle name="Процентный 2 4" xfId="1407"/>
    <cellStyle name="Процентный 3" xfId="1299"/>
    <cellStyle name="Процентный 4" xfId="1300"/>
    <cellStyle name="Процентный 5" xfId="1301"/>
    <cellStyle name="Процентный 6" xfId="1467"/>
    <cellStyle name="Связанная ячейка 10" xfId="1302"/>
    <cellStyle name="Связанная ячейка 2" xfId="1303"/>
    <cellStyle name="Связанная ячейка 2 2" xfId="1304"/>
    <cellStyle name="Связанная ячейка 2_46EE.2011(v1.0)" xfId="1305"/>
    <cellStyle name="Связанная ячейка 3" xfId="1306"/>
    <cellStyle name="Связанная ячейка 3 2" xfId="1307"/>
    <cellStyle name="Связанная ячейка 3_46EE.2011(v1.0)" xfId="1308"/>
    <cellStyle name="Связанная ячейка 4" xfId="1309"/>
    <cellStyle name="Связанная ячейка 4 2" xfId="1310"/>
    <cellStyle name="Связанная ячейка 4_46EE.2011(v1.0)" xfId="1311"/>
    <cellStyle name="Связанная ячейка 5" xfId="1312"/>
    <cellStyle name="Связанная ячейка 5 2" xfId="1313"/>
    <cellStyle name="Связанная ячейка 5_46EE.2011(v1.0)" xfId="1314"/>
    <cellStyle name="Связанная ячейка 6" xfId="1315"/>
    <cellStyle name="Связанная ячейка 6 2" xfId="1316"/>
    <cellStyle name="Связанная ячейка 6_46EE.2011(v1.0)" xfId="1317"/>
    <cellStyle name="Связанная ячейка 7" xfId="1318"/>
    <cellStyle name="Связанная ячейка 7 2" xfId="1319"/>
    <cellStyle name="Связанная ячейка 7_46EE.2011(v1.0)" xfId="1320"/>
    <cellStyle name="Связанная ячейка 8" xfId="1321"/>
    <cellStyle name="Связанная ячейка 8 2" xfId="1322"/>
    <cellStyle name="Связанная ячейка 8_46EE.2011(v1.0)" xfId="1323"/>
    <cellStyle name="Связанная ячейка 9" xfId="1324"/>
    <cellStyle name="Связанная ячейка 9 2" xfId="1325"/>
    <cellStyle name="Связанная ячейка 9_46EE.2011(v1.0)" xfId="1326"/>
    <cellStyle name="Стиль 1" xfId="1327"/>
    <cellStyle name="Стиль 1 2" xfId="1328"/>
    <cellStyle name="Стиль 1_RAB с 2010 года" xfId="1329"/>
    <cellStyle name="ТЕКСТ" xfId="1330"/>
    <cellStyle name="ТЕКСТ 2" xfId="1331"/>
    <cellStyle name="ТЕКСТ 3" xfId="1332"/>
    <cellStyle name="ТЕКСТ 4" xfId="1333"/>
    <cellStyle name="ТЕКСТ 5" xfId="1334"/>
    <cellStyle name="ТЕКСТ 6" xfId="1335"/>
    <cellStyle name="ТЕКСТ 7" xfId="1336"/>
    <cellStyle name="ТЕКСТ 8" xfId="1337"/>
    <cellStyle name="Текст предупреждения 10" xfId="1338"/>
    <cellStyle name="Текст предупреждения 2" xfId="1339"/>
    <cellStyle name="Текст предупреждения 2 2" xfId="1340"/>
    <cellStyle name="Текст предупреждения 3" xfId="1341"/>
    <cellStyle name="Текст предупреждения 3 2" xfId="1342"/>
    <cellStyle name="Текст предупреждения 4" xfId="1343"/>
    <cellStyle name="Текст предупреждения 4 2" xfId="1344"/>
    <cellStyle name="Текст предупреждения 5" xfId="1345"/>
    <cellStyle name="Текст предупреждения 5 2" xfId="1346"/>
    <cellStyle name="Текст предупреждения 6" xfId="1347"/>
    <cellStyle name="Текст предупреждения 6 2" xfId="1348"/>
    <cellStyle name="Текст предупреждения 7" xfId="1349"/>
    <cellStyle name="Текст предупреждения 7 2" xfId="1350"/>
    <cellStyle name="Текст предупреждения 8" xfId="1351"/>
    <cellStyle name="Текст предупреждения 8 2" xfId="1352"/>
    <cellStyle name="Текст предупреждения 9" xfId="1353"/>
    <cellStyle name="Текст предупреждения 9 2" xfId="1354"/>
    <cellStyle name="Текстовый" xfId="1355"/>
    <cellStyle name="Текстовый 2" xfId="1356"/>
    <cellStyle name="Текстовый 3" xfId="1357"/>
    <cellStyle name="Текстовый 4" xfId="1358"/>
    <cellStyle name="Текстовый 5" xfId="1359"/>
    <cellStyle name="Текстовый 6" xfId="1360"/>
    <cellStyle name="Текстовый 7" xfId="1361"/>
    <cellStyle name="Текстовый 8" xfId="1362"/>
    <cellStyle name="Текстовый_1" xfId="1363"/>
    <cellStyle name="Тысячи [0]_ прил.2,4" xfId="1440"/>
    <cellStyle name="Тысячи_ прил.2,4" xfId="1441"/>
    <cellStyle name="ФИКСИРОВАННЫЙ" xfId="1364"/>
    <cellStyle name="ФИКСИРОВАННЫЙ 2" xfId="1365"/>
    <cellStyle name="ФИКСИРОВАННЫЙ 3" xfId="1366"/>
    <cellStyle name="ФИКСИРОВАННЫЙ 4" xfId="1367"/>
    <cellStyle name="ФИКСИРОВАННЫЙ 5" xfId="1368"/>
    <cellStyle name="ФИКСИРОВАННЫЙ 6" xfId="1369"/>
    <cellStyle name="ФИКСИРОВАННЫЙ 7" xfId="1370"/>
    <cellStyle name="ФИКСИРОВАННЫЙ 8" xfId="1371"/>
    <cellStyle name="ФИКСИРОВАННЫЙ_1" xfId="1372"/>
    <cellStyle name="Финансовый 2" xfId="1373"/>
    <cellStyle name="Финансовый 2 2" xfId="1374"/>
    <cellStyle name="Финансовый 2 5" xfId="1426"/>
    <cellStyle name="Финансовый 2_46EE.2011(v1.0)" xfId="1375"/>
    <cellStyle name="Финансовый 3" xfId="1376"/>
    <cellStyle name="Финансовый 4" xfId="1377"/>
    <cellStyle name="Финансовый 5" xfId="1427"/>
    <cellStyle name="Формула" xfId="1378"/>
    <cellStyle name="Формула 2" xfId="1379"/>
    <cellStyle name="Формула 3" xfId="1380"/>
    <cellStyle name="Формула_A РТ 2009 Рязаньэнерго" xfId="1381"/>
    <cellStyle name="ФормулаВБ" xfId="1382"/>
    <cellStyle name="ФормулаВБ 2" xfId="1383"/>
    <cellStyle name="ФормулаНаКонтроль" xfId="1384"/>
    <cellStyle name="Хороший 10" xfId="1385"/>
    <cellStyle name="Хороший 2" xfId="1386"/>
    <cellStyle name="Хороший 2 2" xfId="1387"/>
    <cellStyle name="Хороший 3" xfId="1388"/>
    <cellStyle name="Хороший 3 2" xfId="1389"/>
    <cellStyle name="Хороший 4" xfId="1390"/>
    <cellStyle name="Хороший 4 2" xfId="1391"/>
    <cellStyle name="Хороший 5" xfId="1392"/>
    <cellStyle name="Хороший 5 2" xfId="1393"/>
    <cellStyle name="Хороший 6" xfId="1394"/>
    <cellStyle name="Хороший 6 2" xfId="1395"/>
    <cellStyle name="Хороший 7" xfId="1396"/>
    <cellStyle name="Хороший 7 2" xfId="1397"/>
    <cellStyle name="Хороший 8" xfId="1398"/>
    <cellStyle name="Хороший 8 2" xfId="1399"/>
    <cellStyle name="Хороший 9" xfId="1400"/>
    <cellStyle name="Хороший 9 2" xfId="1401"/>
    <cellStyle name="Цифры по центру с десятыми" xfId="1402"/>
    <cellStyle name="Џђћ–…ќ’ќ›‰" xfId="1403"/>
    <cellStyle name="Шапка таблицы" xfId="1404"/>
    <cellStyle name="㼿" xfId="1442"/>
    <cellStyle name="㼿?" xfId="1443"/>
    <cellStyle name="㼿_Кредиты_займы НПГЭ" xfId="1444"/>
    <cellStyle name="㼿_Кредиты_займы НПГЭ Д_1" xfId="1445"/>
    <cellStyle name="㼿_План НПГЭ на 2012 (01-04-2012)_1" xfId="1446"/>
    <cellStyle name="㼿㼿" xfId="1447"/>
    <cellStyle name="㼿㼿?" xfId="1448"/>
    <cellStyle name="㼿㼿_Кредиты_займы НПГЭ Д_3" xfId="1449"/>
    <cellStyle name="㼿㼿㼿" xfId="1450"/>
    <cellStyle name="㼿㼿㼿?" xfId="1451"/>
    <cellStyle name="㼿㼿㼿_Кредиты_займы НПГЭ Д_7" xfId="1452"/>
    <cellStyle name="㼿㼿㼿㼿" xfId="1453"/>
    <cellStyle name="㼿㼿㼿㼿?" xfId="1454"/>
    <cellStyle name="㼿㼿㼿㼿_Кредиты_займы НПГЭ Д" xfId="1455"/>
    <cellStyle name="㼿㼿㼿㼿㼿" xfId="1456"/>
    <cellStyle name="㼿㼿㼿㼿㼿?" xfId="1457"/>
    <cellStyle name="㼿㼿㼿㼿㼿_Кредиты_займы НПГЭ Д_4" xfId="1458"/>
    <cellStyle name="㼿㼿㼿㼿㼿㼿?" xfId="1459"/>
    <cellStyle name="㼿㼿㼿㼿㼿㼿㼿㼿" xfId="1460"/>
    <cellStyle name="㼿㼿㼿㼿㼿㼿㼿㼿㼿" xfId="1461"/>
    <cellStyle name="㼿㼿㼿㼿㼿㼿㼿㼿㼿㼿" xfId="146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kgk-kurgan@kgk-kurgan.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509" customWidth="1"/>
    <col min="2" max="2" width="9.140625" style="2509" customWidth="1"/>
    <col min="3" max="3" width="16.42578125" style="2509" customWidth="1"/>
    <col min="4" max="25" width="6.28515625" style="2509" customWidth="1"/>
    <col min="26" max="28" width="11" style="2509"/>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591" t="s">
        <v>1</v>
      </c>
      <c r="C2" s="2591"/>
      <c r="D2" s="2591"/>
      <c r="E2" s="2591"/>
      <c r="F2" s="2591"/>
      <c r="G2" s="2591"/>
      <c r="H2" s="2591"/>
      <c r="I2" s="2591"/>
      <c r="J2" s="2591"/>
      <c r="K2" s="2591"/>
      <c r="L2" s="2591"/>
      <c r="M2" s="2591"/>
      <c r="N2" s="2591"/>
      <c r="O2" s="2591"/>
      <c r="P2" s="2591"/>
      <c r="Q2" s="1622"/>
      <c r="R2" s="1622"/>
      <c r="S2" s="1622"/>
      <c r="T2" s="1622"/>
      <c r="U2" s="1622"/>
      <c r="V2" s="1623"/>
      <c r="W2" s="1622"/>
      <c r="X2" s="1622"/>
      <c r="Y2" s="1620"/>
      <c r="Z2" s="1619"/>
      <c r="AA2" s="1621"/>
      <c r="AB2" s="1619"/>
    </row>
    <row r="3" spans="1:28" ht="15.75" customHeight="1">
      <c r="A3" s="1619"/>
      <c r="B3" s="2592" t="s">
        <v>2</v>
      </c>
      <c r="C3" s="2592"/>
      <c r="D3" s="2592"/>
      <c r="E3" s="2592"/>
      <c r="F3" s="2592"/>
      <c r="G3" s="2592"/>
      <c r="H3" s="2592"/>
      <c r="I3" s="2592"/>
      <c r="J3" s="2592"/>
      <c r="K3" s="2592"/>
      <c r="L3" s="2592"/>
      <c r="M3" s="2592"/>
      <c r="N3" s="2592"/>
      <c r="O3" s="2592"/>
      <c r="P3" s="2592"/>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593"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594"/>
      <c r="D5" s="2594"/>
      <c r="E5" s="2594"/>
      <c r="F5" s="2594"/>
      <c r="G5" s="2594"/>
      <c r="H5" s="2594"/>
      <c r="I5" s="2594"/>
      <c r="J5" s="2594"/>
      <c r="K5" s="2594"/>
      <c r="L5" s="2594"/>
      <c r="M5" s="2594"/>
      <c r="N5" s="2594"/>
      <c r="O5" s="2594"/>
      <c r="P5" s="2594"/>
      <c r="Q5" s="2594"/>
      <c r="R5" s="2594"/>
      <c r="S5" s="2594"/>
      <c r="T5" s="2594"/>
      <c r="U5" s="2594"/>
      <c r="V5" s="2594"/>
      <c r="W5" s="2594"/>
      <c r="X5" s="2594"/>
      <c r="Y5" s="2595"/>
      <c r="Z5" s="1625"/>
      <c r="AA5" s="1621"/>
      <c r="AB5" s="1625"/>
    </row>
    <row r="6" spans="1:28" ht="15" customHeight="1">
      <c r="A6" s="1626"/>
      <c r="B6" s="2596" t="s">
        <v>3</v>
      </c>
      <c r="C6" s="2597"/>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596"/>
      <c r="C7" s="2597"/>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596"/>
      <c r="C8" s="2597"/>
      <c r="D8" s="1632"/>
      <c r="E8" s="1633" t="s">
        <v>4</v>
      </c>
      <c r="F8" s="2599" t="s">
        <v>5</v>
      </c>
      <c r="G8" s="2600"/>
      <c r="H8" s="2600"/>
      <c r="I8" s="2600"/>
      <c r="J8" s="2600"/>
      <c r="K8" s="2600"/>
      <c r="L8" s="2600"/>
      <c r="M8" s="2600"/>
      <c r="N8" s="1632"/>
      <c r="O8" s="1634" t="s">
        <v>4</v>
      </c>
      <c r="P8" s="2601" t="s">
        <v>6</v>
      </c>
      <c r="Q8" s="2602"/>
      <c r="R8" s="2602"/>
      <c r="S8" s="2602"/>
      <c r="T8" s="2602"/>
      <c r="U8" s="2602"/>
      <c r="V8" s="2602"/>
      <c r="W8" s="2602"/>
      <c r="X8" s="2602"/>
      <c r="Y8" s="1628"/>
      <c r="Z8" s="1629"/>
      <c r="AA8" s="1630"/>
      <c r="AB8" s="1630"/>
    </row>
    <row r="9" spans="1:28" ht="15" customHeight="1">
      <c r="A9" s="1626"/>
      <c r="B9" s="2596"/>
      <c r="C9" s="2597"/>
      <c r="D9" s="1632"/>
      <c r="E9" s="1635" t="s">
        <v>4</v>
      </c>
      <c r="F9" s="2599" t="s">
        <v>7</v>
      </c>
      <c r="G9" s="2600"/>
      <c r="H9" s="2600"/>
      <c r="I9" s="2600"/>
      <c r="J9" s="2600"/>
      <c r="K9" s="2600"/>
      <c r="L9" s="2600"/>
      <c r="M9" s="2600"/>
      <c r="N9" s="1632"/>
      <c r="O9" s="1636" t="s">
        <v>4</v>
      </c>
      <c r="P9" s="2601" t="s">
        <v>8</v>
      </c>
      <c r="Q9" s="2602"/>
      <c r="R9" s="2602"/>
      <c r="S9" s="2602"/>
      <c r="T9" s="2602"/>
      <c r="U9" s="2602"/>
      <c r="V9" s="2602"/>
      <c r="W9" s="2602"/>
      <c r="X9" s="2602"/>
      <c r="Y9" s="1628"/>
      <c r="Z9" s="1629"/>
      <c r="AA9" s="1630"/>
      <c r="AB9" s="1630"/>
    </row>
    <row r="10" spans="1:28" ht="30" customHeight="1">
      <c r="A10" s="1626"/>
      <c r="B10" s="2596"/>
      <c r="C10" s="2598"/>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2603" t="s">
        <v>9</v>
      </c>
      <c r="C11" s="2604"/>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596"/>
      <c r="C12" s="2598"/>
      <c r="D12" s="1640"/>
      <c r="E12" s="2600" t="s">
        <v>10</v>
      </c>
      <c r="F12" s="2600"/>
      <c r="G12" s="2600"/>
      <c r="H12" s="2600"/>
      <c r="I12" s="2600"/>
      <c r="J12" s="2600"/>
      <c r="K12" s="2600"/>
      <c r="L12" s="2600"/>
      <c r="M12" s="2600"/>
      <c r="N12" s="2600"/>
      <c r="O12" s="2600"/>
      <c r="P12" s="2600"/>
      <c r="Q12" s="2600"/>
      <c r="R12" s="2600"/>
      <c r="S12" s="2600"/>
      <c r="T12" s="2600"/>
      <c r="U12" s="2600"/>
      <c r="V12" s="2600"/>
      <c r="W12" s="2600"/>
      <c r="X12" s="2600"/>
      <c r="Y12" s="1628"/>
      <c r="Z12" s="1629"/>
      <c r="AA12" s="1630"/>
      <c r="AB12" s="1630"/>
    </row>
    <row r="13" spans="1:28" ht="15" customHeight="1">
      <c r="A13" s="1626"/>
      <c r="B13" s="2603" t="s">
        <v>11</v>
      </c>
      <c r="C13" s="2604"/>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596"/>
      <c r="C14" s="2597"/>
      <c r="D14" s="1632"/>
      <c r="E14" s="2607" t="s">
        <v>12</v>
      </c>
      <c r="F14" s="2607"/>
      <c r="G14" s="2607"/>
      <c r="H14" s="2607"/>
      <c r="I14" s="2607"/>
      <c r="J14" s="2607"/>
      <c r="K14" s="2607"/>
      <c r="L14" s="2607"/>
      <c r="M14" s="2607"/>
      <c r="N14" s="2607"/>
      <c r="O14" s="2607"/>
      <c r="P14" s="2607"/>
      <c r="Q14" s="2607"/>
      <c r="R14" s="2607"/>
      <c r="S14" s="2607"/>
      <c r="T14" s="2607"/>
      <c r="U14" s="2607"/>
      <c r="V14" s="2607"/>
      <c r="W14" s="2607"/>
      <c r="X14" s="2607"/>
      <c r="Y14" s="1628"/>
      <c r="Z14" s="1629"/>
      <c r="AA14" s="1630"/>
      <c r="AB14" s="1630"/>
    </row>
    <row r="15" spans="1:28" ht="16.5" customHeight="1">
      <c r="A15" s="1626"/>
      <c r="B15" s="2605"/>
      <c r="C15" s="2606"/>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607"/>
      <c r="C16" s="2608"/>
      <c r="D16" s="2608"/>
      <c r="E16" s="2608"/>
      <c r="F16" s="2608"/>
      <c r="G16" s="2608"/>
      <c r="H16" s="2608"/>
      <c r="I16" s="2608"/>
      <c r="J16" s="2608"/>
      <c r="K16" s="2608"/>
      <c r="L16" s="2608"/>
      <c r="M16" s="2608"/>
      <c r="N16" s="2608"/>
      <c r="O16" s="2608"/>
      <c r="P16" s="2608"/>
      <c r="Q16" s="2608"/>
      <c r="R16" s="2608"/>
      <c r="S16" s="2608"/>
      <c r="T16" s="2608"/>
      <c r="U16" s="2608"/>
      <c r="V16" s="2608"/>
      <c r="W16" s="2608"/>
      <c r="X16" s="2608"/>
      <c r="Y16" s="2608"/>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511" hidden="1" customWidth="1"/>
    <col min="2" max="3" width="9.140625" style="2513" hidden="1" customWidth="1"/>
    <col min="4" max="4" width="3" style="2525" customWidth="1"/>
    <col min="5" max="5" width="6" style="2513" customWidth="1"/>
    <col min="6" max="6" width="1.7109375" style="2513" hidden="1" customWidth="1"/>
    <col min="7" max="8" width="30" style="2513" customWidth="1"/>
    <col min="9" max="9" width="8" style="2513" customWidth="1"/>
    <col min="10" max="10" width="12.140625" style="2513" customWidth="1"/>
    <col min="11" max="11" width="46" style="2513" customWidth="1"/>
    <col min="12" max="12" width="100" style="2513" customWidth="1"/>
    <col min="13" max="13" width="7" style="2522" customWidth="1"/>
    <col min="14" max="22" width="10" style="2513" customWidth="1"/>
    <col min="23" max="23" width="10.5703125" style="2513" hidden="1"/>
  </cols>
  <sheetData>
    <row r="1" spans="1:23" s="2520" customFormat="1" ht="5.25" hidden="1" customHeight="1">
      <c r="C1" s="446"/>
      <c r="D1" s="429"/>
      <c r="F1" s="446"/>
      <c r="G1" s="424" t="s">
        <v>82</v>
      </c>
      <c r="H1" s="424" t="s">
        <v>83</v>
      </c>
      <c r="I1" s="424" t="s">
        <v>84</v>
      </c>
      <c r="P1" s="424" t="s">
        <v>82</v>
      </c>
      <c r="Q1" s="424" t="s">
        <v>83</v>
      </c>
      <c r="R1" s="424" t="s">
        <v>84</v>
      </c>
      <c r="W1" s="424" t="s">
        <v>14</v>
      </c>
    </row>
    <row r="2" spans="1:23" s="2520" customFormat="1" ht="5.25" hidden="1" customHeight="1">
      <c r="C2" s="446"/>
      <c r="D2" s="429"/>
      <c r="F2" s="446"/>
      <c r="W2" s="424">
        <v>0</v>
      </c>
    </row>
    <row r="3" spans="1:23" s="2512" customFormat="1" ht="5.25" customHeight="1">
      <c r="A3" s="414"/>
      <c r="D3" s="421"/>
      <c r="E3" s="416"/>
      <c r="F3" s="416"/>
      <c r="G3" s="416"/>
      <c r="H3" s="416"/>
      <c r="I3" s="417"/>
      <c r="J3" s="418"/>
      <c r="K3" s="418"/>
      <c r="L3" s="418"/>
      <c r="W3" s="415">
        <v>5</v>
      </c>
    </row>
    <row r="4" spans="1:23" ht="23.25" customHeight="1">
      <c r="D4" s="385"/>
      <c r="E4" s="2631" t="s">
        <v>390</v>
      </c>
      <c r="F4" s="2631"/>
      <c r="G4" s="2632"/>
      <c r="H4" s="2632"/>
      <c r="I4" s="2633"/>
      <c r="J4" s="426"/>
      <c r="K4" s="388"/>
      <c r="L4" s="388"/>
      <c r="W4" s="382">
        <v>22</v>
      </c>
    </row>
    <row r="5" spans="1:23" s="2513" customFormat="1" ht="18" customHeight="1">
      <c r="A5" s="692"/>
      <c r="D5" s="751"/>
      <c r="E5" s="2729" t="str">
        <f>IF(org=0,"Не определено",org)</f>
        <v>ООО "Ноябрьская ПГЭ"</v>
      </c>
      <c r="F5" s="2729"/>
      <c r="G5" s="2730"/>
      <c r="H5" s="2730"/>
      <c r="I5" s="2731"/>
      <c r="J5" s="426"/>
      <c r="K5" s="388"/>
      <c r="L5" s="388"/>
      <c r="M5" s="442"/>
      <c r="W5" s="691">
        <v>17</v>
      </c>
    </row>
    <row r="6" spans="1:23" s="2512" customFormat="1" ht="11.45" customHeight="1">
      <c r="A6" s="414"/>
      <c r="D6" s="421"/>
      <c r="E6" s="416"/>
      <c r="F6" s="416"/>
      <c r="G6" s="419"/>
      <c r="H6" s="419"/>
      <c r="I6" s="420"/>
      <c r="J6" s="420"/>
      <c r="K6" s="687"/>
      <c r="L6" s="420"/>
      <c r="W6" s="415">
        <v>11</v>
      </c>
    </row>
    <row r="7" spans="1:23" ht="14.65" customHeight="1">
      <c r="D7" s="385"/>
      <c r="E7" s="2723" t="s">
        <v>302</v>
      </c>
      <c r="F7" s="2723"/>
      <c r="G7" s="2724"/>
      <c r="H7" s="2724"/>
      <c r="I7" s="2724"/>
      <c r="J7" s="2724"/>
      <c r="K7" s="2724"/>
      <c r="L7" s="2672" t="s">
        <v>303</v>
      </c>
      <c r="W7" s="382">
        <v>14</v>
      </c>
    </row>
    <row r="8" spans="1:23" ht="48.2" customHeight="1">
      <c r="D8" s="385"/>
      <c r="E8" s="408" t="s">
        <v>87</v>
      </c>
      <c r="F8" s="752"/>
      <c r="G8" s="400" t="s">
        <v>85</v>
      </c>
      <c r="H8" s="400" t="s">
        <v>86</v>
      </c>
      <c r="I8" s="349" t="s">
        <v>84</v>
      </c>
      <c r="J8" s="349" t="s">
        <v>391</v>
      </c>
      <c r="K8" s="349" t="s">
        <v>392</v>
      </c>
      <c r="L8" s="2672"/>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736" t="s">
        <v>393</v>
      </c>
      <c r="M10" s="442"/>
      <c r="N10" s="440"/>
      <c r="O10" s="440"/>
      <c r="P10" s="440"/>
      <c r="Q10" s="440"/>
      <c r="R10" s="440"/>
      <c r="S10" s="440"/>
      <c r="T10" s="440"/>
      <c r="U10" s="440"/>
      <c r="V10" s="440"/>
      <c r="W10" s="382">
        <v>0</v>
      </c>
    </row>
    <row r="11" spans="1:23" ht="15" hidden="1" customHeight="1">
      <c r="A11" s="2613"/>
      <c r="B11" s="439"/>
      <c r="C11" s="439"/>
      <c r="D11" s="790"/>
      <c r="E11" s="448"/>
      <c r="F11" s="448"/>
      <c r="G11" s="448"/>
      <c r="H11" s="448"/>
      <c r="I11" s="449"/>
      <c r="J11" s="450"/>
      <c r="K11" s="648"/>
      <c r="L11" s="2750"/>
      <c r="M11" s="446"/>
      <c r="N11" s="446"/>
      <c r="O11" s="446"/>
      <c r="P11" s="451"/>
      <c r="Q11" s="451"/>
      <c r="R11" s="452"/>
      <c r="S11" s="446"/>
      <c r="T11" s="446"/>
      <c r="U11" s="446"/>
      <c r="V11" s="446"/>
      <c r="W11" s="382">
        <v>0</v>
      </c>
    </row>
    <row r="12" spans="1:23" s="2512" customFormat="1" ht="15" customHeight="1">
      <c r="A12" s="2613"/>
      <c r="B12" s="439"/>
      <c r="C12" s="439"/>
      <c r="D12" s="791"/>
      <c r="E12" s="752">
        <v>1</v>
      </c>
      <c r="F12" s="789">
        <v>23</v>
      </c>
      <c r="G12" s="788"/>
      <c r="H12" s="722"/>
      <c r="I12" s="720"/>
      <c r="J12" s="455" t="s">
        <v>66</v>
      </c>
      <c r="K12" s="1082" t="s">
        <v>28</v>
      </c>
      <c r="L12" s="2750"/>
      <c r="M12" s="446"/>
      <c r="N12" s="446"/>
      <c r="O12" s="446"/>
      <c r="P12" s="451" t="s">
        <v>394</v>
      </c>
      <c r="Q12" s="451" t="s">
        <v>395</v>
      </c>
      <c r="R12" s="452" t="s">
        <v>396</v>
      </c>
      <c r="S12" s="446" t="s">
        <v>397</v>
      </c>
      <c r="T12" s="446"/>
      <c r="U12" s="446"/>
      <c r="V12" s="446"/>
      <c r="W12" s="415">
        <v>14</v>
      </c>
    </row>
    <row r="13" spans="1:23" ht="15.75" customHeight="1">
      <c r="A13" s="2613"/>
      <c r="B13" s="440"/>
      <c r="D13" s="441"/>
      <c r="E13" s="340"/>
      <c r="F13" s="464"/>
      <c r="G13" s="351" t="s">
        <v>101</v>
      </c>
      <c r="H13" s="339"/>
      <c r="I13" s="339"/>
      <c r="J13" s="339"/>
      <c r="K13" s="338"/>
      <c r="L13" s="2737"/>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81</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M65"/>
  <sheetViews>
    <sheetView showGridLines="0" topLeftCell="CH25" zoomScale="90" workbookViewId="0">
      <pane xSplit="28350" topLeftCell="BY1"/>
      <selection activeCell="CX49" sqref="CX49"/>
      <selection pane="topRight" activeCell="BY25" sqref="BY25"/>
    </sheetView>
  </sheetViews>
  <sheetFormatPr defaultColWidth="10.5703125" defaultRowHeight="14.25" customHeight="1"/>
  <cols>
    <col min="1" max="1" width="10.5703125" style="2519" hidden="1"/>
    <col min="2" max="2" width="11" style="2519" hidden="1" customWidth="1"/>
    <col min="3" max="3" width="10.5703125" style="2519" hidden="1"/>
    <col min="4" max="4" width="11.85546875" style="2519" hidden="1" customWidth="1"/>
    <col min="5" max="5" width="10" style="2519" hidden="1" customWidth="1"/>
    <col min="6" max="6" width="8.7109375" style="2519" hidden="1" customWidth="1"/>
    <col min="7" max="7" width="7.5703125" style="2519" hidden="1" customWidth="1"/>
    <col min="8" max="8" width="11.42578125" style="2519" hidden="1" customWidth="1"/>
    <col min="9" max="9" width="12" style="2519" hidden="1" customWidth="1"/>
    <col min="10" max="10" width="9.85546875" style="2519" hidden="1" customWidth="1"/>
    <col min="11" max="11" width="11.42578125" style="2519" hidden="1" customWidth="1"/>
    <col min="12" max="12" width="19.140625" style="2545" hidden="1" customWidth="1"/>
    <col min="13" max="14" width="12.28515625" style="2546" hidden="1" customWidth="1"/>
    <col min="15" max="15" width="23.42578125" style="2546" hidden="1" customWidth="1"/>
    <col min="16" max="16" width="3" style="2547" customWidth="1"/>
    <col min="17" max="18" width="3" style="2548" customWidth="1"/>
    <col min="19" max="19" width="12" style="2549" customWidth="1"/>
    <col min="20" max="20" width="35" style="2513" customWidth="1"/>
    <col min="21" max="21" width="0.140625" style="2513" customWidth="1"/>
    <col min="22" max="22" width="24.7109375" style="2513" hidden="1" customWidth="1"/>
    <col min="23" max="23" width="0.140625" style="2513" hidden="1" customWidth="1"/>
    <col min="24" max="25" width="24.7109375" style="2513" hidden="1" customWidth="1"/>
    <col min="26" max="26" width="11.7109375" style="2513" hidden="1" customWidth="1"/>
    <col min="27" max="27" width="3.7109375" style="2513" hidden="1" customWidth="1"/>
    <col min="28" max="28" width="11.7109375" style="2513" hidden="1" customWidth="1"/>
    <col min="29" max="29" width="8.5703125" style="2513" hidden="1" customWidth="1"/>
    <col min="30" max="30" width="24.7109375" style="2513" customWidth="1"/>
    <col min="31" max="31" width="0.140625" style="2513" customWidth="1"/>
    <col min="32" max="33" width="24" style="2513" customWidth="1"/>
    <col min="34" max="34" width="12.7109375" style="2513" customWidth="1"/>
    <col min="35" max="35" width="3.7109375" style="2513" customWidth="1"/>
    <col min="36" max="36" width="14" style="2513" customWidth="1"/>
    <col min="37" max="37" width="8.5703125" style="2513" customWidth="1"/>
    <col min="44" max="44" width="12.85546875" style="2550" customWidth="1"/>
    <col min="50" max="50" width="14" style="2550" customWidth="1"/>
    <col min="52" max="52" width="13.140625" style="2550" customWidth="1"/>
    <col min="58" max="58" width="13.85546875" style="2550" customWidth="1"/>
    <col min="60" max="60" width="12.42578125" style="2550" customWidth="1"/>
    <col min="66" max="66" width="13.140625" style="2550" customWidth="1"/>
    <col min="68" max="68" width="14.42578125" style="2550" customWidth="1"/>
    <col min="74" max="74" width="12.42578125" style="2550" customWidth="1"/>
    <col min="76" max="76" width="13.7109375" style="2550" customWidth="1"/>
    <col min="82" max="82" width="13.28515625" style="2550" customWidth="1"/>
    <col min="84" max="84" width="12.7109375" style="2550" customWidth="1"/>
    <col min="90" max="90" width="12.85546875" style="2550" customWidth="1"/>
    <col min="92" max="92" width="13.42578125" style="2550" customWidth="1"/>
    <col min="98" max="98" width="12.85546875" style="2550" customWidth="1"/>
    <col min="100" max="100" width="13.42578125" style="2550" customWidth="1"/>
    <col min="106" max="106" width="14.28515625" style="2550" customWidth="1"/>
    <col min="108" max="108" width="13.7109375" style="2550" customWidth="1"/>
    <col min="109" max="109" width="10.5703125" style="2550" hidden="1"/>
    <col min="110" max="110" width="4" style="2513" customWidth="1"/>
    <col min="111" max="111" width="115" style="2513" customWidth="1"/>
    <col min="112" max="116" width="10" style="2520" customWidth="1"/>
    <col min="117" max="117" width="10.5703125" style="2513" hidden="1"/>
  </cols>
  <sheetData>
    <row r="1" spans="1:117" ht="22.5" hidden="1" customHeight="1">
      <c r="Y1" s="263"/>
      <c r="Z1" s="263"/>
      <c r="AG1" s="263"/>
      <c r="AH1" s="263"/>
      <c r="AL1" s="2050"/>
      <c r="AM1" s="2050"/>
      <c r="AN1" s="2050"/>
      <c r="AO1" s="2050"/>
      <c r="AP1" s="2050"/>
      <c r="AQ1" s="2050"/>
      <c r="AR1" s="2050"/>
      <c r="AS1" s="2050"/>
      <c r="AT1" s="2050"/>
      <c r="AU1" s="2050"/>
      <c r="AV1" s="2050"/>
      <c r="AW1" s="2050"/>
      <c r="AX1" s="2050"/>
      <c r="AY1" s="2050"/>
      <c r="AZ1" s="2050"/>
      <c r="BA1" s="2050"/>
      <c r="BB1" s="2050"/>
      <c r="BC1" s="2050"/>
      <c r="BD1" s="2050"/>
      <c r="BE1" s="2050"/>
      <c r="BF1" s="2050"/>
      <c r="BG1" s="2050"/>
      <c r="BH1" s="2050"/>
      <c r="BI1" s="2050"/>
      <c r="BJ1" s="2050"/>
      <c r="BK1" s="2050"/>
      <c r="BL1" s="2050"/>
      <c r="BM1" s="2050"/>
      <c r="BN1" s="2050"/>
      <c r="BO1" s="2050"/>
      <c r="BP1" s="2050"/>
      <c r="BQ1" s="2050"/>
      <c r="BR1" s="2050"/>
      <c r="BS1" s="2050"/>
      <c r="BT1" s="2050"/>
      <c r="BU1" s="2050"/>
      <c r="BV1" s="2050"/>
      <c r="BW1" s="2050"/>
      <c r="BX1" s="2050"/>
      <c r="BY1" s="2050"/>
      <c r="BZ1" s="2050"/>
      <c r="CA1" s="2050"/>
      <c r="CB1" s="2050"/>
      <c r="CC1" s="2050"/>
      <c r="CD1" s="2050"/>
      <c r="CE1" s="2050"/>
      <c r="CF1" s="2050"/>
      <c r="CG1" s="2050"/>
      <c r="CH1" s="2050"/>
      <c r="CI1" s="2050"/>
      <c r="CJ1" s="2050"/>
      <c r="CK1" s="2050"/>
      <c r="CL1" s="2050"/>
      <c r="CM1" s="2050"/>
      <c r="CN1" s="2050"/>
      <c r="CO1" s="2050"/>
      <c r="CP1" s="2050"/>
      <c r="CQ1" s="2050"/>
      <c r="CR1" s="2050"/>
      <c r="CS1" s="2050"/>
      <c r="CT1" s="2050"/>
      <c r="CU1" s="2050"/>
      <c r="CV1" s="2050"/>
      <c r="CW1" s="2050"/>
      <c r="CX1" s="2050"/>
      <c r="CY1" s="2050"/>
      <c r="CZ1" s="2050"/>
      <c r="DA1" s="2050"/>
      <c r="DB1" s="2050"/>
      <c r="DC1" s="2050"/>
      <c r="DD1" s="2050"/>
      <c r="DE1" s="2050"/>
      <c r="DM1" s="1073" t="s">
        <v>14</v>
      </c>
    </row>
    <row r="2" spans="1:117" ht="21" hidden="1" customHeight="1">
      <c r="A2" s="1281"/>
      <c r="B2" s="1281"/>
      <c r="C2" s="1281"/>
      <c r="D2" s="1281"/>
      <c r="E2" s="2778">
        <v>1</v>
      </c>
      <c r="F2" s="1281"/>
      <c r="G2" s="1281"/>
      <c r="H2" s="1281"/>
      <c r="I2" s="1281"/>
      <c r="J2" s="1281"/>
      <c r="K2" s="1281"/>
      <c r="L2" s="1282"/>
      <c r="M2" s="1283"/>
      <c r="N2" s="1283"/>
      <c r="O2" s="1283"/>
      <c r="P2" s="296"/>
      <c r="Q2" s="295"/>
      <c r="R2" s="290"/>
      <c r="S2" s="1227" t="e">
        <f>INDEX(PT_DIFFERENTIATION_NUM_NTAR,MATCH(A2,PT_DIFFERENTIATION_NTAR_ID,0))</f>
        <v>#N/A</v>
      </c>
      <c r="T2" s="234" t="s">
        <v>122</v>
      </c>
      <c r="U2" s="236"/>
      <c r="V2" s="2766"/>
      <c r="W2" s="2767"/>
      <c r="X2" s="2767"/>
      <c r="Y2" s="2767"/>
      <c r="Z2" s="2767"/>
      <c r="AA2" s="2767"/>
      <c r="AB2" s="2767"/>
      <c r="AC2" s="2768"/>
      <c r="AD2" s="2766" t="e">
        <f>INDEX(PT_DIFFERENTIATION_NTAR,MATCH(A2,PT_DIFFERENTIATION_NTAR_ID,0))</f>
        <v>#N/A</v>
      </c>
      <c r="AE2" s="2767"/>
      <c r="AF2" s="2767"/>
      <c r="AG2" s="2767"/>
      <c r="AH2" s="2767"/>
      <c r="AI2" s="2767"/>
      <c r="AJ2" s="2767"/>
      <c r="AK2" s="2767"/>
      <c r="AL2" s="2766"/>
      <c r="AM2" s="2767"/>
      <c r="AN2" s="2767"/>
      <c r="AO2" s="2767"/>
      <c r="AP2" s="2767"/>
      <c r="AQ2" s="2767"/>
      <c r="AR2" s="2767"/>
      <c r="AS2" s="2768"/>
      <c r="AT2" s="2766"/>
      <c r="AU2" s="2767"/>
      <c r="AV2" s="2767"/>
      <c r="AW2" s="2767"/>
      <c r="AX2" s="2767"/>
      <c r="AY2" s="2767"/>
      <c r="AZ2" s="2767"/>
      <c r="BA2" s="2768"/>
      <c r="BB2" s="2766"/>
      <c r="BC2" s="2767"/>
      <c r="BD2" s="2767"/>
      <c r="BE2" s="2767"/>
      <c r="BF2" s="2767"/>
      <c r="BG2" s="2767"/>
      <c r="BH2" s="2767"/>
      <c r="BI2" s="2768"/>
      <c r="BJ2" s="2766"/>
      <c r="BK2" s="2767"/>
      <c r="BL2" s="2767"/>
      <c r="BM2" s="2767"/>
      <c r="BN2" s="2767"/>
      <c r="BO2" s="2767"/>
      <c r="BP2" s="2767"/>
      <c r="BQ2" s="2768"/>
      <c r="BR2" s="2766"/>
      <c r="BS2" s="2767"/>
      <c r="BT2" s="2767"/>
      <c r="BU2" s="2767"/>
      <c r="BV2" s="2767"/>
      <c r="BW2" s="2767"/>
      <c r="BX2" s="2767"/>
      <c r="BY2" s="2768"/>
      <c r="BZ2" s="2766"/>
      <c r="CA2" s="2767"/>
      <c r="CB2" s="2767"/>
      <c r="CC2" s="2767"/>
      <c r="CD2" s="2767"/>
      <c r="CE2" s="2767"/>
      <c r="CF2" s="2767"/>
      <c r="CG2" s="2768"/>
      <c r="CH2" s="2766"/>
      <c r="CI2" s="2767"/>
      <c r="CJ2" s="2767"/>
      <c r="CK2" s="2767"/>
      <c r="CL2" s="2767"/>
      <c r="CM2" s="2767"/>
      <c r="CN2" s="2767"/>
      <c r="CO2" s="2768"/>
      <c r="CP2" s="2766"/>
      <c r="CQ2" s="2767"/>
      <c r="CR2" s="2767"/>
      <c r="CS2" s="2767"/>
      <c r="CT2" s="2767"/>
      <c r="CU2" s="2767"/>
      <c r="CV2" s="2767"/>
      <c r="CW2" s="2768"/>
      <c r="CX2" s="2766"/>
      <c r="CY2" s="2767"/>
      <c r="CZ2" s="2767"/>
      <c r="DA2" s="2767"/>
      <c r="DB2" s="2767"/>
      <c r="DC2" s="2767"/>
      <c r="DD2" s="2767"/>
      <c r="DE2" s="2768"/>
      <c r="DF2" s="2768"/>
      <c r="DG2" s="1176" t="s">
        <v>398</v>
      </c>
      <c r="DI2" s="435"/>
      <c r="DJ2" s="435" t="str">
        <f t="shared" ref="DJ2:DJ15" si="0">IF(T2="","",T2)</f>
        <v>Наименование тарифа</v>
      </c>
      <c r="DK2" s="435"/>
      <c r="DL2" s="435"/>
      <c r="DM2" s="1073">
        <v>0</v>
      </c>
    </row>
    <row r="3" spans="1:117" ht="21" hidden="1" customHeight="1">
      <c r="A3" s="1281"/>
      <c r="B3" s="1281"/>
      <c r="C3" s="1281"/>
      <c r="D3" s="1281"/>
      <c r="E3" s="2779"/>
      <c r="F3" s="2778">
        <v>1</v>
      </c>
      <c r="G3" s="1281"/>
      <c r="H3" s="1281"/>
      <c r="I3" s="1281"/>
      <c r="J3" s="1281"/>
      <c r="K3" s="1281"/>
      <c r="L3" s="1282"/>
      <c r="M3" s="1283"/>
      <c r="N3" s="1283"/>
      <c r="O3" s="1283"/>
      <c r="P3" s="1222"/>
      <c r="Q3" s="287"/>
      <c r="R3" s="288"/>
      <c r="S3" s="1227" t="e">
        <f>INDEX(PT_DIFFERENTIATION_NUM_TER,MATCH(B3,PT_DIFFERENTIATION_TER_ID,0))</f>
        <v>#N/A</v>
      </c>
      <c r="T3" s="244" t="s">
        <v>399</v>
      </c>
      <c r="U3" s="236"/>
      <c r="V3" s="2766"/>
      <c r="W3" s="2767"/>
      <c r="X3" s="2767"/>
      <c r="Y3" s="2767"/>
      <c r="Z3" s="2767"/>
      <c r="AA3" s="2767"/>
      <c r="AB3" s="2767"/>
      <c r="AC3" s="2768"/>
      <c r="AD3" s="2766" t="e">
        <f>INDEX(PT_DIFFERENTIATION_TER,MATCH(B3,PT_DIFFERENTIATION_TER_ID,0))</f>
        <v>#N/A</v>
      </c>
      <c r="AE3" s="2767"/>
      <c r="AF3" s="2767"/>
      <c r="AG3" s="2767"/>
      <c r="AH3" s="2767"/>
      <c r="AI3" s="2767"/>
      <c r="AJ3" s="2767"/>
      <c r="AK3" s="2767"/>
      <c r="AL3" s="2766"/>
      <c r="AM3" s="2767"/>
      <c r="AN3" s="2767"/>
      <c r="AO3" s="2767"/>
      <c r="AP3" s="2767"/>
      <c r="AQ3" s="2767"/>
      <c r="AR3" s="2767"/>
      <c r="AS3" s="2768"/>
      <c r="AT3" s="2766"/>
      <c r="AU3" s="2767"/>
      <c r="AV3" s="2767"/>
      <c r="AW3" s="2767"/>
      <c r="AX3" s="2767"/>
      <c r="AY3" s="2767"/>
      <c r="AZ3" s="2767"/>
      <c r="BA3" s="2768"/>
      <c r="BB3" s="2766"/>
      <c r="BC3" s="2767"/>
      <c r="BD3" s="2767"/>
      <c r="BE3" s="2767"/>
      <c r="BF3" s="2767"/>
      <c r="BG3" s="2767"/>
      <c r="BH3" s="2767"/>
      <c r="BI3" s="2768"/>
      <c r="BJ3" s="2766"/>
      <c r="BK3" s="2767"/>
      <c r="BL3" s="2767"/>
      <c r="BM3" s="2767"/>
      <c r="BN3" s="2767"/>
      <c r="BO3" s="2767"/>
      <c r="BP3" s="2767"/>
      <c r="BQ3" s="2768"/>
      <c r="BR3" s="2766"/>
      <c r="BS3" s="2767"/>
      <c r="BT3" s="2767"/>
      <c r="BU3" s="2767"/>
      <c r="BV3" s="2767"/>
      <c r="BW3" s="2767"/>
      <c r="BX3" s="2767"/>
      <c r="BY3" s="2768"/>
      <c r="BZ3" s="2766"/>
      <c r="CA3" s="2767"/>
      <c r="CB3" s="2767"/>
      <c r="CC3" s="2767"/>
      <c r="CD3" s="2767"/>
      <c r="CE3" s="2767"/>
      <c r="CF3" s="2767"/>
      <c r="CG3" s="2768"/>
      <c r="CH3" s="2766"/>
      <c r="CI3" s="2767"/>
      <c r="CJ3" s="2767"/>
      <c r="CK3" s="2767"/>
      <c r="CL3" s="2767"/>
      <c r="CM3" s="2767"/>
      <c r="CN3" s="2767"/>
      <c r="CO3" s="2768"/>
      <c r="CP3" s="2766"/>
      <c r="CQ3" s="2767"/>
      <c r="CR3" s="2767"/>
      <c r="CS3" s="2767"/>
      <c r="CT3" s="2767"/>
      <c r="CU3" s="2767"/>
      <c r="CV3" s="2767"/>
      <c r="CW3" s="2768"/>
      <c r="CX3" s="2766"/>
      <c r="CY3" s="2767"/>
      <c r="CZ3" s="2767"/>
      <c r="DA3" s="2767"/>
      <c r="DB3" s="2767"/>
      <c r="DC3" s="2767"/>
      <c r="DD3" s="2767"/>
      <c r="DE3" s="2768"/>
      <c r="DF3" s="2768"/>
      <c r="DG3" s="1176" t="s">
        <v>400</v>
      </c>
      <c r="DI3" s="435"/>
      <c r="DJ3" s="435" t="str">
        <f t="shared" si="0"/>
        <v>Территория действия тарифа</v>
      </c>
      <c r="DK3" s="435"/>
      <c r="DL3" s="435"/>
      <c r="DM3" s="1073">
        <v>0</v>
      </c>
    </row>
    <row r="4" spans="1:117" ht="23.25" hidden="1" customHeight="1">
      <c r="A4" s="1281"/>
      <c r="B4" s="1281"/>
      <c r="C4" s="1281"/>
      <c r="D4" s="1281"/>
      <c r="E4" s="2779"/>
      <c r="F4" s="2779"/>
      <c r="G4" s="2778">
        <v>1</v>
      </c>
      <c r="H4" s="1281"/>
      <c r="I4" s="1281"/>
      <c r="J4" s="1281"/>
      <c r="K4" s="1281"/>
      <c r="L4" s="1282"/>
      <c r="M4" s="1283"/>
      <c r="N4" s="1283"/>
      <c r="O4" s="1283"/>
      <c r="P4" s="289"/>
      <c r="Q4" s="287"/>
      <c r="R4" s="288"/>
      <c r="S4" s="1227" t="e">
        <f>INDEX(PT_DIFFERENTIATION_NUM_CS,MATCH(C4,PT_DIFFERENTIATION_CS_ID,0))</f>
        <v>#N/A</v>
      </c>
      <c r="T4" s="245" t="s">
        <v>401</v>
      </c>
      <c r="U4" s="236"/>
      <c r="V4" s="2766"/>
      <c r="W4" s="2767"/>
      <c r="X4" s="2767"/>
      <c r="Y4" s="2767"/>
      <c r="Z4" s="2767"/>
      <c r="AA4" s="2767"/>
      <c r="AB4" s="2767"/>
      <c r="AC4" s="2768"/>
      <c r="AD4" s="2766" t="e">
        <f>INDEX(PT_DIFFERENTIATION_CS,MATCH(C4,PT_DIFFERENTIATION_CS_ID,0))</f>
        <v>#N/A</v>
      </c>
      <c r="AE4" s="2767"/>
      <c r="AF4" s="2767"/>
      <c r="AG4" s="2767"/>
      <c r="AH4" s="2767"/>
      <c r="AI4" s="2767"/>
      <c r="AJ4" s="2767"/>
      <c r="AK4" s="2767"/>
      <c r="AL4" s="2766"/>
      <c r="AM4" s="2767"/>
      <c r="AN4" s="2767"/>
      <c r="AO4" s="2767"/>
      <c r="AP4" s="2767"/>
      <c r="AQ4" s="2767"/>
      <c r="AR4" s="2767"/>
      <c r="AS4" s="2768"/>
      <c r="AT4" s="2766"/>
      <c r="AU4" s="2767"/>
      <c r="AV4" s="2767"/>
      <c r="AW4" s="2767"/>
      <c r="AX4" s="2767"/>
      <c r="AY4" s="2767"/>
      <c r="AZ4" s="2767"/>
      <c r="BA4" s="2768"/>
      <c r="BB4" s="2766"/>
      <c r="BC4" s="2767"/>
      <c r="BD4" s="2767"/>
      <c r="BE4" s="2767"/>
      <c r="BF4" s="2767"/>
      <c r="BG4" s="2767"/>
      <c r="BH4" s="2767"/>
      <c r="BI4" s="2768"/>
      <c r="BJ4" s="2766"/>
      <c r="BK4" s="2767"/>
      <c r="BL4" s="2767"/>
      <c r="BM4" s="2767"/>
      <c r="BN4" s="2767"/>
      <c r="BO4" s="2767"/>
      <c r="BP4" s="2767"/>
      <c r="BQ4" s="2768"/>
      <c r="BR4" s="2766"/>
      <c r="BS4" s="2767"/>
      <c r="BT4" s="2767"/>
      <c r="BU4" s="2767"/>
      <c r="BV4" s="2767"/>
      <c r="BW4" s="2767"/>
      <c r="BX4" s="2767"/>
      <c r="BY4" s="2768"/>
      <c r="BZ4" s="2766"/>
      <c r="CA4" s="2767"/>
      <c r="CB4" s="2767"/>
      <c r="CC4" s="2767"/>
      <c r="CD4" s="2767"/>
      <c r="CE4" s="2767"/>
      <c r="CF4" s="2767"/>
      <c r="CG4" s="2768"/>
      <c r="CH4" s="2766"/>
      <c r="CI4" s="2767"/>
      <c r="CJ4" s="2767"/>
      <c r="CK4" s="2767"/>
      <c r="CL4" s="2767"/>
      <c r="CM4" s="2767"/>
      <c r="CN4" s="2767"/>
      <c r="CO4" s="2768"/>
      <c r="CP4" s="2766"/>
      <c r="CQ4" s="2767"/>
      <c r="CR4" s="2767"/>
      <c r="CS4" s="2767"/>
      <c r="CT4" s="2767"/>
      <c r="CU4" s="2767"/>
      <c r="CV4" s="2767"/>
      <c r="CW4" s="2768"/>
      <c r="CX4" s="2766"/>
      <c r="CY4" s="2767"/>
      <c r="CZ4" s="2767"/>
      <c r="DA4" s="2767"/>
      <c r="DB4" s="2767"/>
      <c r="DC4" s="2767"/>
      <c r="DD4" s="2767"/>
      <c r="DE4" s="2768"/>
      <c r="DF4" s="2768"/>
      <c r="DG4" s="1176" t="s">
        <v>402</v>
      </c>
      <c r="DI4" s="435"/>
      <c r="DJ4" s="435" t="str">
        <f t="shared" si="0"/>
        <v xml:space="preserve">Наименование системы теплоснабжения </v>
      </c>
      <c r="DK4" s="435"/>
      <c r="DL4" s="435"/>
      <c r="DM4" s="1073">
        <v>0</v>
      </c>
    </row>
    <row r="5" spans="1:117" ht="21" hidden="1" customHeight="1">
      <c r="A5" s="1281"/>
      <c r="B5" s="1281"/>
      <c r="C5" s="1281"/>
      <c r="D5" s="1281"/>
      <c r="E5" s="2779"/>
      <c r="F5" s="2779"/>
      <c r="G5" s="2779"/>
      <c r="H5" s="2778">
        <v>1</v>
      </c>
      <c r="I5" s="1281"/>
      <c r="J5" s="1281"/>
      <c r="K5" s="1281"/>
      <c r="L5" s="1282"/>
      <c r="M5" s="1283"/>
      <c r="N5" s="1283"/>
      <c r="O5" s="1283"/>
      <c r="P5" s="289"/>
      <c r="Q5" s="287"/>
      <c r="R5" s="288"/>
      <c r="S5" s="1227" t="e">
        <f>INDEX(PT_DIFFERENTIATION_NUM_IST_TE,MATCH(D5,PT_DIFFERENTIATION_IST_TE_ID,0))</f>
        <v>#N/A</v>
      </c>
      <c r="T5" s="246" t="s">
        <v>403</v>
      </c>
      <c r="U5" s="236"/>
      <c r="V5" s="2766"/>
      <c r="W5" s="2767"/>
      <c r="X5" s="2767"/>
      <c r="Y5" s="2767"/>
      <c r="Z5" s="2767"/>
      <c r="AA5" s="2767"/>
      <c r="AB5" s="2767"/>
      <c r="AC5" s="2768"/>
      <c r="AD5" s="2766" t="e">
        <f>INDEX(PT_DIFFERENTIATION_IST_TE,MATCH(D5,PT_DIFFERENTIATION_IST_TE_ID,0))</f>
        <v>#N/A</v>
      </c>
      <c r="AE5" s="2767"/>
      <c r="AF5" s="2767"/>
      <c r="AG5" s="2767"/>
      <c r="AH5" s="2767"/>
      <c r="AI5" s="2767"/>
      <c r="AJ5" s="2767"/>
      <c r="AK5" s="2767"/>
      <c r="AL5" s="2766"/>
      <c r="AM5" s="2767"/>
      <c r="AN5" s="2767"/>
      <c r="AO5" s="2767"/>
      <c r="AP5" s="2767"/>
      <c r="AQ5" s="2767"/>
      <c r="AR5" s="2767"/>
      <c r="AS5" s="2768"/>
      <c r="AT5" s="2766"/>
      <c r="AU5" s="2767"/>
      <c r="AV5" s="2767"/>
      <c r="AW5" s="2767"/>
      <c r="AX5" s="2767"/>
      <c r="AY5" s="2767"/>
      <c r="AZ5" s="2767"/>
      <c r="BA5" s="2768"/>
      <c r="BB5" s="2766"/>
      <c r="BC5" s="2767"/>
      <c r="BD5" s="2767"/>
      <c r="BE5" s="2767"/>
      <c r="BF5" s="2767"/>
      <c r="BG5" s="2767"/>
      <c r="BH5" s="2767"/>
      <c r="BI5" s="2768"/>
      <c r="BJ5" s="2766"/>
      <c r="BK5" s="2767"/>
      <c r="BL5" s="2767"/>
      <c r="BM5" s="2767"/>
      <c r="BN5" s="2767"/>
      <c r="BO5" s="2767"/>
      <c r="BP5" s="2767"/>
      <c r="BQ5" s="2768"/>
      <c r="BR5" s="2766"/>
      <c r="BS5" s="2767"/>
      <c r="BT5" s="2767"/>
      <c r="BU5" s="2767"/>
      <c r="BV5" s="2767"/>
      <c r="BW5" s="2767"/>
      <c r="BX5" s="2767"/>
      <c r="BY5" s="2768"/>
      <c r="BZ5" s="2766"/>
      <c r="CA5" s="2767"/>
      <c r="CB5" s="2767"/>
      <c r="CC5" s="2767"/>
      <c r="CD5" s="2767"/>
      <c r="CE5" s="2767"/>
      <c r="CF5" s="2767"/>
      <c r="CG5" s="2768"/>
      <c r="CH5" s="2766"/>
      <c r="CI5" s="2767"/>
      <c r="CJ5" s="2767"/>
      <c r="CK5" s="2767"/>
      <c r="CL5" s="2767"/>
      <c r="CM5" s="2767"/>
      <c r="CN5" s="2767"/>
      <c r="CO5" s="2768"/>
      <c r="CP5" s="2766"/>
      <c r="CQ5" s="2767"/>
      <c r="CR5" s="2767"/>
      <c r="CS5" s="2767"/>
      <c r="CT5" s="2767"/>
      <c r="CU5" s="2767"/>
      <c r="CV5" s="2767"/>
      <c r="CW5" s="2768"/>
      <c r="CX5" s="2766"/>
      <c r="CY5" s="2767"/>
      <c r="CZ5" s="2767"/>
      <c r="DA5" s="2767"/>
      <c r="DB5" s="2767"/>
      <c r="DC5" s="2767"/>
      <c r="DD5" s="2767"/>
      <c r="DE5" s="2768"/>
      <c r="DF5" s="2768"/>
      <c r="DG5" s="1176" t="s">
        <v>404</v>
      </c>
      <c r="DI5" s="435"/>
      <c r="DJ5" s="435" t="str">
        <f t="shared" si="0"/>
        <v xml:space="preserve">Источник тепловой энергии  </v>
      </c>
      <c r="DK5" s="435"/>
      <c r="DL5" s="435"/>
      <c r="DM5" s="1073">
        <v>0</v>
      </c>
    </row>
    <row r="6" spans="1:117" ht="47.25" hidden="1" customHeight="1">
      <c r="A6" s="1281"/>
      <c r="B6" s="1281"/>
      <c r="C6" s="1281"/>
      <c r="D6" s="1281"/>
      <c r="E6" s="2779"/>
      <c r="F6" s="2779"/>
      <c r="G6" s="2779"/>
      <c r="H6" s="2779"/>
      <c r="I6" s="2776" t="e">
        <f>S5&amp;".1"</f>
        <v>#N/A</v>
      </c>
      <c r="J6" s="1281"/>
      <c r="K6" s="1281"/>
      <c r="L6" s="1282" t="s">
        <v>405</v>
      </c>
      <c r="M6" s="472"/>
      <c r="P6" s="2777">
        <v>1</v>
      </c>
      <c r="Q6" s="1223"/>
      <c r="R6" s="291"/>
      <c r="S6" s="1227" t="e">
        <f>$I6</f>
        <v>#N/A</v>
      </c>
      <c r="T6" s="221" t="s">
        <v>406</v>
      </c>
      <c r="U6" s="236"/>
      <c r="V6" s="2769"/>
      <c r="W6" s="2770"/>
      <c r="X6" s="2770"/>
      <c r="Y6" s="2770"/>
      <c r="Z6" s="2770"/>
      <c r="AA6" s="2770"/>
      <c r="AB6" s="2770"/>
      <c r="AC6" s="2771"/>
      <c r="AD6" s="2769"/>
      <c r="AE6" s="2770"/>
      <c r="AF6" s="2770"/>
      <c r="AG6" s="2770"/>
      <c r="AH6" s="2770"/>
      <c r="AI6" s="2770"/>
      <c r="AJ6" s="2770"/>
      <c r="AK6" s="2770"/>
      <c r="AL6" s="2769"/>
      <c r="AM6" s="2770"/>
      <c r="AN6" s="2770"/>
      <c r="AO6" s="2770"/>
      <c r="AP6" s="2770"/>
      <c r="AQ6" s="2770"/>
      <c r="AR6" s="2770"/>
      <c r="AS6" s="2771"/>
      <c r="AT6" s="2769"/>
      <c r="AU6" s="2770"/>
      <c r="AV6" s="2770"/>
      <c r="AW6" s="2770"/>
      <c r="AX6" s="2770"/>
      <c r="AY6" s="2770"/>
      <c r="AZ6" s="2770"/>
      <c r="BA6" s="2771"/>
      <c r="BB6" s="2769"/>
      <c r="BC6" s="2770"/>
      <c r="BD6" s="2770"/>
      <c r="BE6" s="2770"/>
      <c r="BF6" s="2770"/>
      <c r="BG6" s="2770"/>
      <c r="BH6" s="2770"/>
      <c r="BI6" s="2771"/>
      <c r="BJ6" s="2769"/>
      <c r="BK6" s="2770"/>
      <c r="BL6" s="2770"/>
      <c r="BM6" s="2770"/>
      <c r="BN6" s="2770"/>
      <c r="BO6" s="2770"/>
      <c r="BP6" s="2770"/>
      <c r="BQ6" s="2771"/>
      <c r="BR6" s="2769"/>
      <c r="BS6" s="2770"/>
      <c r="BT6" s="2770"/>
      <c r="BU6" s="2770"/>
      <c r="BV6" s="2770"/>
      <c r="BW6" s="2770"/>
      <c r="BX6" s="2770"/>
      <c r="BY6" s="2771"/>
      <c r="BZ6" s="2769"/>
      <c r="CA6" s="2770"/>
      <c r="CB6" s="2770"/>
      <c r="CC6" s="2770"/>
      <c r="CD6" s="2770"/>
      <c r="CE6" s="2770"/>
      <c r="CF6" s="2770"/>
      <c r="CG6" s="2771"/>
      <c r="CH6" s="2769"/>
      <c r="CI6" s="2770"/>
      <c r="CJ6" s="2770"/>
      <c r="CK6" s="2770"/>
      <c r="CL6" s="2770"/>
      <c r="CM6" s="2770"/>
      <c r="CN6" s="2770"/>
      <c r="CO6" s="2771"/>
      <c r="CP6" s="2769"/>
      <c r="CQ6" s="2770"/>
      <c r="CR6" s="2770"/>
      <c r="CS6" s="2770"/>
      <c r="CT6" s="2770"/>
      <c r="CU6" s="2770"/>
      <c r="CV6" s="2770"/>
      <c r="CW6" s="2771"/>
      <c r="CX6" s="2769"/>
      <c r="CY6" s="2770"/>
      <c r="CZ6" s="2770"/>
      <c r="DA6" s="2770"/>
      <c r="DB6" s="2770"/>
      <c r="DC6" s="2770"/>
      <c r="DD6" s="2770"/>
      <c r="DE6" s="2771"/>
      <c r="DF6" s="2771"/>
      <c r="DG6" s="1176" t="s">
        <v>407</v>
      </c>
      <c r="DI6" s="435"/>
      <c r="DJ6" s="435" t="str">
        <f t="shared" si="0"/>
        <v>Схема подключения теплопотребляющей установки к коллектору источника тепловой энергии</v>
      </c>
      <c r="DK6" s="435"/>
      <c r="DL6" s="435"/>
      <c r="DM6" s="1073">
        <v>0</v>
      </c>
    </row>
    <row r="7" spans="1:117" ht="21" hidden="1" customHeight="1">
      <c r="A7" s="1281"/>
      <c r="B7" s="1281"/>
      <c r="C7" s="1281"/>
      <c r="D7" s="1281"/>
      <c r="E7" s="2779"/>
      <c r="F7" s="2779"/>
      <c r="G7" s="2779"/>
      <c r="H7" s="2779"/>
      <c r="I7" s="2787"/>
      <c r="J7" s="2776" t="e">
        <f>I6&amp;".1"</f>
        <v>#N/A</v>
      </c>
      <c r="K7" s="1281"/>
      <c r="L7" s="1282" t="s">
        <v>408</v>
      </c>
      <c r="M7" s="472"/>
      <c r="N7" s="1284"/>
      <c r="P7" s="2777"/>
      <c r="Q7" s="2777">
        <v>1</v>
      </c>
      <c r="R7" s="292"/>
      <c r="S7" s="1227" t="e">
        <f>$J7</f>
        <v>#N/A</v>
      </c>
      <c r="T7" s="222" t="s">
        <v>409</v>
      </c>
      <c r="U7" s="236"/>
      <c r="V7" s="2769"/>
      <c r="W7" s="2770"/>
      <c r="X7" s="2770"/>
      <c r="Y7" s="2770"/>
      <c r="Z7" s="2770"/>
      <c r="AA7" s="2770"/>
      <c r="AB7" s="2770"/>
      <c r="AC7" s="2771"/>
      <c r="AD7" s="2769"/>
      <c r="AE7" s="2770"/>
      <c r="AF7" s="2770"/>
      <c r="AG7" s="2770"/>
      <c r="AH7" s="2770"/>
      <c r="AI7" s="2770"/>
      <c r="AJ7" s="2770"/>
      <c r="AK7" s="2770"/>
      <c r="AL7" s="2769"/>
      <c r="AM7" s="2770"/>
      <c r="AN7" s="2770"/>
      <c r="AO7" s="2770"/>
      <c r="AP7" s="2770"/>
      <c r="AQ7" s="2770"/>
      <c r="AR7" s="2770"/>
      <c r="AS7" s="2771"/>
      <c r="AT7" s="2769"/>
      <c r="AU7" s="2770"/>
      <c r="AV7" s="2770"/>
      <c r="AW7" s="2770"/>
      <c r="AX7" s="2770"/>
      <c r="AY7" s="2770"/>
      <c r="AZ7" s="2770"/>
      <c r="BA7" s="2771"/>
      <c r="BB7" s="2769"/>
      <c r="BC7" s="2770"/>
      <c r="BD7" s="2770"/>
      <c r="BE7" s="2770"/>
      <c r="BF7" s="2770"/>
      <c r="BG7" s="2770"/>
      <c r="BH7" s="2770"/>
      <c r="BI7" s="2771"/>
      <c r="BJ7" s="2769"/>
      <c r="BK7" s="2770"/>
      <c r="BL7" s="2770"/>
      <c r="BM7" s="2770"/>
      <c r="BN7" s="2770"/>
      <c r="BO7" s="2770"/>
      <c r="BP7" s="2770"/>
      <c r="BQ7" s="2771"/>
      <c r="BR7" s="2769"/>
      <c r="BS7" s="2770"/>
      <c r="BT7" s="2770"/>
      <c r="BU7" s="2770"/>
      <c r="BV7" s="2770"/>
      <c r="BW7" s="2770"/>
      <c r="BX7" s="2770"/>
      <c r="BY7" s="2771"/>
      <c r="BZ7" s="2769"/>
      <c r="CA7" s="2770"/>
      <c r="CB7" s="2770"/>
      <c r="CC7" s="2770"/>
      <c r="CD7" s="2770"/>
      <c r="CE7" s="2770"/>
      <c r="CF7" s="2770"/>
      <c r="CG7" s="2771"/>
      <c r="CH7" s="2769"/>
      <c r="CI7" s="2770"/>
      <c r="CJ7" s="2770"/>
      <c r="CK7" s="2770"/>
      <c r="CL7" s="2770"/>
      <c r="CM7" s="2770"/>
      <c r="CN7" s="2770"/>
      <c r="CO7" s="2771"/>
      <c r="CP7" s="2769"/>
      <c r="CQ7" s="2770"/>
      <c r="CR7" s="2770"/>
      <c r="CS7" s="2770"/>
      <c r="CT7" s="2770"/>
      <c r="CU7" s="2770"/>
      <c r="CV7" s="2770"/>
      <c r="CW7" s="2771"/>
      <c r="CX7" s="2769"/>
      <c r="CY7" s="2770"/>
      <c r="CZ7" s="2770"/>
      <c r="DA7" s="2770"/>
      <c r="DB7" s="2770"/>
      <c r="DC7" s="2770"/>
      <c r="DD7" s="2770"/>
      <c r="DE7" s="2771"/>
      <c r="DF7" s="2771"/>
      <c r="DG7" s="1176" t="s">
        <v>410</v>
      </c>
      <c r="DI7" s="435"/>
      <c r="DJ7" s="435" t="str">
        <f t="shared" si="0"/>
        <v>Группа потребителей</v>
      </c>
      <c r="DK7" s="435"/>
      <c r="DL7" s="435"/>
      <c r="DM7" s="1073">
        <v>0</v>
      </c>
    </row>
    <row r="8" spans="1:117" ht="21" hidden="1" customHeight="1">
      <c r="A8" s="1281"/>
      <c r="B8" s="1281"/>
      <c r="C8" s="1281"/>
      <c r="D8" s="1281"/>
      <c r="E8" s="2779"/>
      <c r="F8" s="2779"/>
      <c r="G8" s="2779"/>
      <c r="H8" s="2779"/>
      <c r="I8" s="2787"/>
      <c r="J8" s="2787"/>
      <c r="K8" s="2776" t="e">
        <f>J7&amp;".1"</f>
        <v>#N/A</v>
      </c>
      <c r="L8" s="1282" t="s">
        <v>411</v>
      </c>
      <c r="M8" s="472"/>
      <c r="N8" s="1284"/>
      <c r="O8" s="1284"/>
      <c r="P8" s="2777"/>
      <c r="Q8" s="2777"/>
      <c r="R8" s="292">
        <v>1</v>
      </c>
      <c r="S8" s="1227" t="e">
        <f>$K8</f>
        <v>#N/A</v>
      </c>
      <c r="T8" s="1265"/>
      <c r="U8" s="236"/>
      <c r="V8" s="686"/>
      <c r="W8" s="261"/>
      <c r="X8" s="686"/>
      <c r="Y8" s="1175"/>
      <c r="Z8" s="2753"/>
      <c r="AA8" s="2619" t="s">
        <v>66</v>
      </c>
      <c r="AB8" s="2753"/>
      <c r="AC8" s="2619" t="s">
        <v>66</v>
      </c>
      <c r="AD8" s="686"/>
      <c r="AE8" s="261"/>
      <c r="AF8" s="686"/>
      <c r="AG8" s="1175"/>
      <c r="AH8" s="2753"/>
      <c r="AI8" s="2619" t="s">
        <v>66</v>
      </c>
      <c r="AJ8" s="2753"/>
      <c r="AK8" s="2619" t="s">
        <v>66</v>
      </c>
      <c r="AL8" s="2051"/>
      <c r="AM8" s="2052"/>
      <c r="AN8" s="2051"/>
      <c r="AO8" s="2053"/>
      <c r="AP8" s="2753"/>
      <c r="AQ8" s="2619" t="s">
        <v>66</v>
      </c>
      <c r="AR8" s="2753"/>
      <c r="AS8" s="2619" t="s">
        <v>66</v>
      </c>
      <c r="AT8" s="2051"/>
      <c r="AU8" s="2052"/>
      <c r="AV8" s="2051"/>
      <c r="AW8" s="2053"/>
      <c r="AX8" s="2753"/>
      <c r="AY8" s="2619" t="s">
        <v>66</v>
      </c>
      <c r="AZ8" s="2753"/>
      <c r="BA8" s="2619" t="s">
        <v>66</v>
      </c>
      <c r="BB8" s="2051"/>
      <c r="BC8" s="2052"/>
      <c r="BD8" s="2051"/>
      <c r="BE8" s="2053"/>
      <c r="BF8" s="2753"/>
      <c r="BG8" s="2619" t="s">
        <v>66</v>
      </c>
      <c r="BH8" s="2753"/>
      <c r="BI8" s="2619" t="s">
        <v>66</v>
      </c>
      <c r="BJ8" s="2051"/>
      <c r="BK8" s="2052"/>
      <c r="BL8" s="2051"/>
      <c r="BM8" s="2053"/>
      <c r="BN8" s="2753"/>
      <c r="BO8" s="2619" t="s">
        <v>66</v>
      </c>
      <c r="BP8" s="2753"/>
      <c r="BQ8" s="2619" t="s">
        <v>66</v>
      </c>
      <c r="BR8" s="2051"/>
      <c r="BS8" s="2052"/>
      <c r="BT8" s="2051"/>
      <c r="BU8" s="2053"/>
      <c r="BV8" s="2753"/>
      <c r="BW8" s="2619" t="s">
        <v>66</v>
      </c>
      <c r="BX8" s="2753"/>
      <c r="BY8" s="2619" t="s">
        <v>66</v>
      </c>
      <c r="BZ8" s="2051"/>
      <c r="CA8" s="2052"/>
      <c r="CB8" s="2051"/>
      <c r="CC8" s="2053"/>
      <c r="CD8" s="2753"/>
      <c r="CE8" s="2619" t="s">
        <v>66</v>
      </c>
      <c r="CF8" s="2753"/>
      <c r="CG8" s="2619" t="s">
        <v>66</v>
      </c>
      <c r="CH8" s="2051"/>
      <c r="CI8" s="2052"/>
      <c r="CJ8" s="2051"/>
      <c r="CK8" s="2053"/>
      <c r="CL8" s="2753"/>
      <c r="CM8" s="2619" t="s">
        <v>66</v>
      </c>
      <c r="CN8" s="2753"/>
      <c r="CO8" s="2619" t="s">
        <v>66</v>
      </c>
      <c r="CP8" s="2051"/>
      <c r="CQ8" s="2052"/>
      <c r="CR8" s="2051"/>
      <c r="CS8" s="2053"/>
      <c r="CT8" s="2753"/>
      <c r="CU8" s="2619" t="s">
        <v>66</v>
      </c>
      <c r="CV8" s="2753"/>
      <c r="CW8" s="2619" t="s">
        <v>66</v>
      </c>
      <c r="CX8" s="2051"/>
      <c r="CY8" s="2052"/>
      <c r="CZ8" s="2051"/>
      <c r="DA8" s="2053"/>
      <c r="DB8" s="2753"/>
      <c r="DC8" s="2619" t="s">
        <v>66</v>
      </c>
      <c r="DD8" s="2753"/>
      <c r="DE8" s="2619" t="s">
        <v>66</v>
      </c>
      <c r="DF8" s="261"/>
      <c r="DG8" s="2773" t="s">
        <v>412</v>
      </c>
      <c r="DH8" s="446" t="e">
        <f ca="1">STRCHECKDATE(V9:DF9)</f>
        <v>#NAME?</v>
      </c>
      <c r="DI8" s="435"/>
      <c r="DJ8" s="435" t="str">
        <f t="shared" si="0"/>
        <v/>
      </c>
      <c r="DK8" s="435"/>
      <c r="DL8" s="435"/>
      <c r="DM8" s="1073">
        <v>0</v>
      </c>
    </row>
    <row r="9" spans="1:117" ht="0.75" hidden="1" customHeight="1">
      <c r="A9" s="1281"/>
      <c r="B9" s="1281"/>
      <c r="C9" s="1281"/>
      <c r="D9" s="1281"/>
      <c r="E9" s="2779"/>
      <c r="F9" s="2779"/>
      <c r="G9" s="2779"/>
      <c r="H9" s="2779"/>
      <c r="I9" s="2787"/>
      <c r="J9" s="2787"/>
      <c r="K9" s="2776"/>
      <c r="L9" s="1282"/>
      <c r="M9" s="472"/>
      <c r="N9" s="1284"/>
      <c r="O9" s="1284"/>
      <c r="P9" s="2777"/>
      <c r="Q9" s="2777"/>
      <c r="R9" s="292"/>
      <c r="S9" s="1224"/>
      <c r="T9" s="236"/>
      <c r="U9" s="236"/>
      <c r="V9" s="261"/>
      <c r="W9" s="261"/>
      <c r="X9" s="261"/>
      <c r="Y9" s="264" t="str">
        <f>Z8&amp;"-"&amp;AB8</f>
        <v>-</v>
      </c>
      <c r="Z9" s="2752"/>
      <c r="AA9" s="2619"/>
      <c r="AB9" s="2752"/>
      <c r="AC9" s="2619"/>
      <c r="AD9" s="261"/>
      <c r="AE9" s="261"/>
      <c r="AF9" s="261"/>
      <c r="AG9" s="264" t="str">
        <f>AH8&amp;"-"&amp;AJ8</f>
        <v>-</v>
      </c>
      <c r="AH9" s="2752"/>
      <c r="AI9" s="2619"/>
      <c r="AJ9" s="2752"/>
      <c r="AK9" s="2619"/>
      <c r="AL9" s="2052"/>
      <c r="AM9" s="2052"/>
      <c r="AN9" s="2052"/>
      <c r="AO9" s="2054" t="str">
        <f>AP8&amp;"-"&amp;AR8</f>
        <v>-</v>
      </c>
      <c r="AP9" s="2752"/>
      <c r="AQ9" s="2619"/>
      <c r="AR9" s="2752"/>
      <c r="AS9" s="2619"/>
      <c r="AT9" s="2052"/>
      <c r="AU9" s="2052"/>
      <c r="AV9" s="2052"/>
      <c r="AW9" s="2054" t="str">
        <f>AX8&amp;"-"&amp;AZ8</f>
        <v>-</v>
      </c>
      <c r="AX9" s="2752"/>
      <c r="AY9" s="2619"/>
      <c r="AZ9" s="2752"/>
      <c r="BA9" s="2619"/>
      <c r="BB9" s="2052"/>
      <c r="BC9" s="2052"/>
      <c r="BD9" s="2052"/>
      <c r="BE9" s="2054" t="str">
        <f>BF8&amp;"-"&amp;BH8</f>
        <v>-</v>
      </c>
      <c r="BF9" s="2752"/>
      <c r="BG9" s="2619"/>
      <c r="BH9" s="2752"/>
      <c r="BI9" s="2619"/>
      <c r="BJ9" s="2052"/>
      <c r="BK9" s="2052"/>
      <c r="BL9" s="2052"/>
      <c r="BM9" s="2054" t="str">
        <f>BN8&amp;"-"&amp;BP8</f>
        <v>-</v>
      </c>
      <c r="BN9" s="2752"/>
      <c r="BO9" s="2619"/>
      <c r="BP9" s="2752"/>
      <c r="BQ9" s="2619"/>
      <c r="BR9" s="2052"/>
      <c r="BS9" s="2052"/>
      <c r="BT9" s="2052"/>
      <c r="BU9" s="2054" t="str">
        <f>BV8&amp;"-"&amp;BX8</f>
        <v>-</v>
      </c>
      <c r="BV9" s="2752"/>
      <c r="BW9" s="2619"/>
      <c r="BX9" s="2752"/>
      <c r="BY9" s="2619"/>
      <c r="BZ9" s="2052"/>
      <c r="CA9" s="2052"/>
      <c r="CB9" s="2052"/>
      <c r="CC9" s="2054" t="str">
        <f>CD8&amp;"-"&amp;CF8</f>
        <v>-</v>
      </c>
      <c r="CD9" s="2752"/>
      <c r="CE9" s="2619"/>
      <c r="CF9" s="2752"/>
      <c r="CG9" s="2619"/>
      <c r="CH9" s="2052"/>
      <c r="CI9" s="2052"/>
      <c r="CJ9" s="2052"/>
      <c r="CK9" s="2054" t="str">
        <f>CL8&amp;"-"&amp;CN8</f>
        <v>-</v>
      </c>
      <c r="CL9" s="2752"/>
      <c r="CM9" s="2619"/>
      <c r="CN9" s="2752"/>
      <c r="CO9" s="2619"/>
      <c r="CP9" s="2052"/>
      <c r="CQ9" s="2052"/>
      <c r="CR9" s="2052"/>
      <c r="CS9" s="2054" t="str">
        <f>CT8&amp;"-"&amp;CV8</f>
        <v>-</v>
      </c>
      <c r="CT9" s="2752"/>
      <c r="CU9" s="2619"/>
      <c r="CV9" s="2752"/>
      <c r="CW9" s="2619"/>
      <c r="CX9" s="2052"/>
      <c r="CY9" s="2052"/>
      <c r="CZ9" s="2052"/>
      <c r="DA9" s="2054" t="str">
        <f>DB8&amp;"-"&amp;DD8</f>
        <v>-</v>
      </c>
      <c r="DB9" s="2752"/>
      <c r="DC9" s="2619"/>
      <c r="DD9" s="2752"/>
      <c r="DE9" s="2619"/>
      <c r="DF9" s="261"/>
      <c r="DG9" s="2774"/>
      <c r="DI9" s="435"/>
      <c r="DJ9" s="435" t="str">
        <f t="shared" si="0"/>
        <v/>
      </c>
      <c r="DK9" s="435"/>
      <c r="DL9" s="435"/>
      <c r="DM9" s="1073">
        <v>0</v>
      </c>
    </row>
    <row r="10" spans="1:117" ht="15" hidden="1" customHeight="1">
      <c r="A10" s="1281"/>
      <c r="B10" s="1281"/>
      <c r="C10" s="1281"/>
      <c r="D10" s="1281"/>
      <c r="E10" s="2779"/>
      <c r="F10" s="2779"/>
      <c r="G10" s="2779"/>
      <c r="H10" s="2779"/>
      <c r="I10" s="2787"/>
      <c r="J10" s="2776"/>
      <c r="K10" s="1281"/>
      <c r="L10" s="1282"/>
      <c r="M10" s="472"/>
      <c r="N10" s="1284"/>
      <c r="P10" s="2777"/>
      <c r="Q10" s="2777"/>
      <c r="R10" s="291"/>
      <c r="S10" s="1196"/>
      <c r="T10" s="224" t="s">
        <v>413</v>
      </c>
      <c r="U10" s="302"/>
      <c r="V10" s="302"/>
      <c r="W10" s="302"/>
      <c r="X10" s="302"/>
      <c r="Y10" s="302"/>
      <c r="Z10" s="302"/>
      <c r="AA10" s="302"/>
      <c r="AB10" s="302"/>
      <c r="AC10" s="302"/>
      <c r="AD10" s="302"/>
      <c r="AE10" s="302"/>
      <c r="AF10" s="302"/>
      <c r="AG10" s="302"/>
      <c r="AH10" s="302"/>
      <c r="AI10" s="302"/>
      <c r="AJ10" s="302"/>
      <c r="AK10" s="302"/>
      <c r="AL10" s="2055"/>
      <c r="AM10" s="2056"/>
      <c r="AN10" s="2057"/>
      <c r="AO10" s="2058"/>
      <c r="AP10" s="2059"/>
      <c r="AQ10" s="2060"/>
      <c r="AR10" s="2061"/>
      <c r="AS10" s="2062"/>
      <c r="AT10" s="2063"/>
      <c r="AU10" s="2064"/>
      <c r="AV10" s="2065"/>
      <c r="AW10" s="2066"/>
      <c r="AX10" s="2067"/>
      <c r="AY10" s="2068"/>
      <c r="AZ10" s="2069"/>
      <c r="BA10" s="2070"/>
      <c r="BB10" s="2071"/>
      <c r="BC10" s="2072"/>
      <c r="BD10" s="2073"/>
      <c r="BE10" s="2074"/>
      <c r="BF10" s="2075"/>
      <c r="BG10" s="2076"/>
      <c r="BH10" s="2077"/>
      <c r="BI10" s="2078"/>
      <c r="BJ10" s="2079"/>
      <c r="BK10" s="2080"/>
      <c r="BL10" s="2081"/>
      <c r="BM10" s="2082"/>
      <c r="BN10" s="2083"/>
      <c r="BO10" s="2084"/>
      <c r="BP10" s="2085"/>
      <c r="BQ10" s="2086"/>
      <c r="BR10" s="2087"/>
      <c r="BS10" s="2088"/>
      <c r="BT10" s="2089"/>
      <c r="BU10" s="2090"/>
      <c r="BV10" s="2091"/>
      <c r="BW10" s="2092"/>
      <c r="BX10" s="2093"/>
      <c r="BY10" s="2094"/>
      <c r="BZ10" s="2095"/>
      <c r="CA10" s="2096"/>
      <c r="CB10" s="2097"/>
      <c r="CC10" s="2098"/>
      <c r="CD10" s="2099"/>
      <c r="CE10" s="2100"/>
      <c r="CF10" s="2101"/>
      <c r="CG10" s="2102"/>
      <c r="CH10" s="2103"/>
      <c r="CI10" s="2104"/>
      <c r="CJ10" s="2105"/>
      <c r="CK10" s="2106"/>
      <c r="CL10" s="2107"/>
      <c r="CM10" s="2108"/>
      <c r="CN10" s="2109"/>
      <c r="CO10" s="2110"/>
      <c r="CP10" s="2111"/>
      <c r="CQ10" s="2112"/>
      <c r="CR10" s="2113"/>
      <c r="CS10" s="2114"/>
      <c r="CT10" s="2115"/>
      <c r="CU10" s="2116"/>
      <c r="CV10" s="2117"/>
      <c r="CW10" s="2118"/>
      <c r="CX10" s="2119"/>
      <c r="CY10" s="2120"/>
      <c r="CZ10" s="2121"/>
      <c r="DA10" s="2122"/>
      <c r="DB10" s="2123"/>
      <c r="DC10" s="2124"/>
      <c r="DD10" s="2125"/>
      <c r="DE10" s="2126"/>
      <c r="DF10" s="260"/>
      <c r="DG10" s="2775"/>
      <c r="DI10" s="435"/>
      <c r="DJ10" s="435" t="str">
        <f t="shared" si="0"/>
        <v>Добавить вид теплоносителя (параметры теплоносителя)</v>
      </c>
      <c r="DK10" s="435"/>
      <c r="DL10" s="435"/>
      <c r="DM10" s="1073">
        <v>0</v>
      </c>
    </row>
    <row r="11" spans="1:117" ht="15" hidden="1" customHeight="1">
      <c r="A11" s="1281"/>
      <c r="B11" s="1281"/>
      <c r="C11" s="1281"/>
      <c r="D11" s="1281"/>
      <c r="E11" s="2779"/>
      <c r="F11" s="2779"/>
      <c r="G11" s="2779"/>
      <c r="H11" s="2779"/>
      <c r="I11" s="2776"/>
      <c r="J11" s="1281"/>
      <c r="K11" s="1281"/>
      <c r="L11" s="1282"/>
      <c r="M11" s="472"/>
      <c r="P11" s="2777"/>
      <c r="Q11" s="1223"/>
      <c r="R11" s="291"/>
      <c r="S11" s="1196"/>
      <c r="T11" s="223" t="s">
        <v>414</v>
      </c>
      <c r="U11" s="302"/>
      <c r="V11" s="302"/>
      <c r="W11" s="302"/>
      <c r="X11" s="302"/>
      <c r="Y11" s="302"/>
      <c r="Z11" s="302"/>
      <c r="AA11" s="302"/>
      <c r="AB11" s="302"/>
      <c r="AC11" s="301"/>
      <c r="AD11" s="302"/>
      <c r="AE11" s="302"/>
      <c r="AF11" s="302"/>
      <c r="AG11" s="302"/>
      <c r="AH11" s="302"/>
      <c r="AI11" s="302"/>
      <c r="AJ11" s="302"/>
      <c r="AK11" s="301"/>
      <c r="AL11" s="2127"/>
      <c r="AM11" s="2128"/>
      <c r="AN11" s="2129"/>
      <c r="AO11" s="2130"/>
      <c r="AP11" s="2131"/>
      <c r="AQ11" s="2132"/>
      <c r="AR11" s="2133"/>
      <c r="AS11" s="2134"/>
      <c r="AT11" s="2135"/>
      <c r="AU11" s="2136"/>
      <c r="AV11" s="2137"/>
      <c r="AW11" s="2138"/>
      <c r="AX11" s="2139"/>
      <c r="AY11" s="2140"/>
      <c r="AZ11" s="2141"/>
      <c r="BA11" s="2142"/>
      <c r="BB11" s="2143"/>
      <c r="BC11" s="2144"/>
      <c r="BD11" s="2145"/>
      <c r="BE11" s="2146"/>
      <c r="BF11" s="2147"/>
      <c r="BG11" s="2148"/>
      <c r="BH11" s="2149"/>
      <c r="BI11" s="2150"/>
      <c r="BJ11" s="2151"/>
      <c r="BK11" s="2152"/>
      <c r="BL11" s="2153"/>
      <c r="BM11" s="2154"/>
      <c r="BN11" s="2155"/>
      <c r="BO11" s="2156"/>
      <c r="BP11" s="2157"/>
      <c r="BQ11" s="2158"/>
      <c r="BR11" s="2159"/>
      <c r="BS11" s="2160"/>
      <c r="BT11" s="2161"/>
      <c r="BU11" s="2162"/>
      <c r="BV11" s="2163"/>
      <c r="BW11" s="2164"/>
      <c r="BX11" s="2165"/>
      <c r="BY11" s="2166"/>
      <c r="BZ11" s="2167"/>
      <c r="CA11" s="2168"/>
      <c r="CB11" s="2169"/>
      <c r="CC11" s="2170"/>
      <c r="CD11" s="2171"/>
      <c r="CE11" s="2172"/>
      <c r="CF11" s="2173"/>
      <c r="CG11" s="2174"/>
      <c r="CH11" s="2175"/>
      <c r="CI11" s="2176"/>
      <c r="CJ11" s="2177"/>
      <c r="CK11" s="2178"/>
      <c r="CL11" s="2179"/>
      <c r="CM11" s="2180"/>
      <c r="CN11" s="2181"/>
      <c r="CO11" s="2182"/>
      <c r="CP11" s="2183"/>
      <c r="CQ11" s="2184"/>
      <c r="CR11" s="2185"/>
      <c r="CS11" s="2186"/>
      <c r="CT11" s="2187"/>
      <c r="CU11" s="2188"/>
      <c r="CV11" s="2189"/>
      <c r="CW11" s="2190"/>
      <c r="CX11" s="2191"/>
      <c r="CY11" s="2192"/>
      <c r="CZ11" s="2193"/>
      <c r="DA11" s="2194"/>
      <c r="DB11" s="2195"/>
      <c r="DC11" s="2196"/>
      <c r="DD11" s="2197"/>
      <c r="DE11" s="2198"/>
      <c r="DF11" s="302"/>
      <c r="DG11" s="239"/>
      <c r="DI11" s="435"/>
      <c r="DJ11" s="435" t="str">
        <f t="shared" si="0"/>
        <v>Добавить группу потребителей</v>
      </c>
      <c r="DK11" s="435"/>
      <c r="DL11" s="435"/>
      <c r="DM11" s="1073">
        <v>0</v>
      </c>
    </row>
    <row r="12" spans="1:117" ht="14.25" hidden="1" customHeight="1">
      <c r="A12" s="1281"/>
      <c r="B12" s="1281"/>
      <c r="C12" s="1281"/>
      <c r="D12" s="1281"/>
      <c r="E12" s="2779"/>
      <c r="F12" s="2779"/>
      <c r="G12" s="2779"/>
      <c r="H12" s="2778"/>
      <c r="I12" s="1281"/>
      <c r="J12" s="1281"/>
      <c r="K12" s="1281"/>
      <c r="L12" s="1282"/>
      <c r="M12" s="1283"/>
      <c r="N12" s="1283"/>
      <c r="O12" s="472"/>
      <c r="P12" s="295"/>
      <c r="Q12" s="310"/>
      <c r="R12" s="290"/>
      <c r="S12" s="1196"/>
      <c r="T12" s="300" t="s">
        <v>415</v>
      </c>
      <c r="U12" s="302"/>
      <c r="V12" s="302"/>
      <c r="W12" s="302"/>
      <c r="X12" s="302"/>
      <c r="Y12" s="302"/>
      <c r="Z12" s="302"/>
      <c r="AA12" s="302"/>
      <c r="AB12" s="302"/>
      <c r="AC12" s="301"/>
      <c r="AD12" s="302"/>
      <c r="AE12" s="302"/>
      <c r="AF12" s="302"/>
      <c r="AG12" s="302"/>
      <c r="AH12" s="302"/>
      <c r="AI12" s="302"/>
      <c r="AJ12" s="302"/>
      <c r="AK12" s="301"/>
      <c r="AL12" s="2199"/>
      <c r="AM12" s="2200"/>
      <c r="AN12" s="2201"/>
      <c r="AO12" s="2202"/>
      <c r="AP12" s="2203"/>
      <c r="AQ12" s="2204"/>
      <c r="AR12" s="2205"/>
      <c r="AS12" s="2206"/>
      <c r="AT12" s="2207"/>
      <c r="AU12" s="2208"/>
      <c r="AV12" s="2209"/>
      <c r="AW12" s="2210"/>
      <c r="AX12" s="2211"/>
      <c r="AY12" s="2212"/>
      <c r="AZ12" s="2213"/>
      <c r="BA12" s="2214"/>
      <c r="BB12" s="2215"/>
      <c r="BC12" s="2216"/>
      <c r="BD12" s="2217"/>
      <c r="BE12" s="2218"/>
      <c r="BF12" s="2219"/>
      <c r="BG12" s="2220"/>
      <c r="BH12" s="2221"/>
      <c r="BI12" s="2222"/>
      <c r="BJ12" s="2223"/>
      <c r="BK12" s="2224"/>
      <c r="BL12" s="2225"/>
      <c r="BM12" s="2226"/>
      <c r="BN12" s="2227"/>
      <c r="BO12" s="2228"/>
      <c r="BP12" s="2229"/>
      <c r="BQ12" s="2230"/>
      <c r="BR12" s="2231"/>
      <c r="BS12" s="2232"/>
      <c r="BT12" s="2233"/>
      <c r="BU12" s="2234"/>
      <c r="BV12" s="2235"/>
      <c r="BW12" s="2236"/>
      <c r="BX12" s="2237"/>
      <c r="BY12" s="2238"/>
      <c r="BZ12" s="2239"/>
      <c r="CA12" s="2240"/>
      <c r="CB12" s="2241"/>
      <c r="CC12" s="2242"/>
      <c r="CD12" s="2243"/>
      <c r="CE12" s="2244"/>
      <c r="CF12" s="2245"/>
      <c r="CG12" s="2246"/>
      <c r="CH12" s="2247"/>
      <c r="CI12" s="2248"/>
      <c r="CJ12" s="2249"/>
      <c r="CK12" s="2250"/>
      <c r="CL12" s="2251"/>
      <c r="CM12" s="2252"/>
      <c r="CN12" s="2253"/>
      <c r="CO12" s="2254"/>
      <c r="CP12" s="2255"/>
      <c r="CQ12" s="2256"/>
      <c r="CR12" s="2257"/>
      <c r="CS12" s="2258"/>
      <c r="CT12" s="2259"/>
      <c r="CU12" s="2260"/>
      <c r="CV12" s="2261"/>
      <c r="CW12" s="2262"/>
      <c r="CX12" s="2263"/>
      <c r="CY12" s="2264"/>
      <c r="CZ12" s="2265"/>
      <c r="DA12" s="2266"/>
      <c r="DB12" s="2267"/>
      <c r="DC12" s="2268"/>
      <c r="DD12" s="2269"/>
      <c r="DE12" s="2270"/>
      <c r="DF12" s="302"/>
      <c r="DG12" s="239"/>
      <c r="DI12" s="435"/>
      <c r="DJ12" s="435" t="str">
        <f t="shared" si="0"/>
        <v>Добавить схему подключения</v>
      </c>
      <c r="DK12" s="435"/>
      <c r="DL12" s="435"/>
      <c r="DM12" s="1073">
        <v>0</v>
      </c>
    </row>
    <row r="13" spans="1:117" s="2520" customFormat="1" ht="0.75" hidden="1" customHeight="1">
      <c r="A13" s="1232"/>
      <c r="B13" s="1232"/>
      <c r="C13" s="1232"/>
      <c r="D13" s="1232"/>
      <c r="E13" s="2779"/>
      <c r="F13" s="2779"/>
      <c r="G13" s="2778"/>
      <c r="H13" s="1232"/>
      <c r="I13" s="1232"/>
      <c r="J13" s="1232"/>
      <c r="K13" s="1232"/>
      <c r="L13" s="1257"/>
      <c r="M13" s="1233"/>
      <c r="N13" s="1233"/>
      <c r="P13" s="1234"/>
      <c r="Q13" s="1235"/>
      <c r="R13" s="1234"/>
      <c r="S13" s="1236"/>
      <c r="T13" s="1237" t="s">
        <v>160</v>
      </c>
      <c r="U13" s="1238"/>
      <c r="V13" s="1238"/>
      <c r="W13" s="1238"/>
      <c r="X13" s="1238"/>
      <c r="Y13" s="1238"/>
      <c r="Z13" s="1238"/>
      <c r="AA13" s="1238"/>
      <c r="AB13" s="1238"/>
      <c r="AC13" s="1238"/>
      <c r="AD13" s="1238"/>
      <c r="AE13" s="1238"/>
      <c r="AF13" s="1238"/>
      <c r="AG13" s="1238"/>
      <c r="AH13" s="1238"/>
      <c r="AI13" s="1238"/>
      <c r="AJ13" s="1238"/>
      <c r="AK13" s="1238"/>
      <c r="AL13" s="2271"/>
      <c r="AM13" s="2271"/>
      <c r="AN13" s="2271"/>
      <c r="AO13" s="2271"/>
      <c r="AP13" s="2271"/>
      <c r="AQ13" s="2271"/>
      <c r="AR13" s="2271"/>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c r="BP13" s="2271"/>
      <c r="BQ13" s="2271"/>
      <c r="BR13" s="2271"/>
      <c r="BS13" s="2271"/>
      <c r="BT13" s="2271"/>
      <c r="BU13" s="2271"/>
      <c r="BV13" s="2271"/>
      <c r="BW13" s="2271"/>
      <c r="BX13" s="2271"/>
      <c r="BY13" s="2271"/>
      <c r="BZ13" s="2271"/>
      <c r="CA13" s="2271"/>
      <c r="CB13" s="2271"/>
      <c r="CC13" s="2271"/>
      <c r="CD13" s="2271"/>
      <c r="CE13" s="2271"/>
      <c r="CF13" s="2271"/>
      <c r="CG13" s="2271"/>
      <c r="CH13" s="2271"/>
      <c r="CI13" s="2271"/>
      <c r="CJ13" s="2271"/>
      <c r="CK13" s="2271"/>
      <c r="CL13" s="2271"/>
      <c r="CM13" s="2271"/>
      <c r="CN13" s="2271"/>
      <c r="CO13" s="2271"/>
      <c r="CP13" s="2271"/>
      <c r="CQ13" s="2271"/>
      <c r="CR13" s="2271"/>
      <c r="CS13" s="2271"/>
      <c r="CT13" s="2271"/>
      <c r="CU13" s="2271"/>
      <c r="CV13" s="2271"/>
      <c r="CW13" s="2271"/>
      <c r="CX13" s="2271"/>
      <c r="CY13" s="2271"/>
      <c r="CZ13" s="2271"/>
      <c r="DA13" s="2271"/>
      <c r="DB13" s="2271"/>
      <c r="DC13" s="2271"/>
      <c r="DD13" s="2271"/>
      <c r="DE13" s="2271"/>
      <c r="DF13" s="1238"/>
      <c r="DG13" s="1238"/>
      <c r="DI13" s="718"/>
      <c r="DJ13" s="718" t="str">
        <f t="shared" si="0"/>
        <v>Добавить источник для дифференциации</v>
      </c>
      <c r="DK13" s="718"/>
      <c r="DL13" s="718"/>
      <c r="DM13" s="453">
        <v>0</v>
      </c>
    </row>
    <row r="14" spans="1:117" s="2520" customFormat="1" ht="0.75" hidden="1" customHeight="1">
      <c r="A14" s="1232"/>
      <c r="B14" s="1232"/>
      <c r="C14" s="1232"/>
      <c r="D14" s="1232"/>
      <c r="E14" s="2779"/>
      <c r="F14" s="2778"/>
      <c r="G14" s="1232"/>
      <c r="H14" s="1232"/>
      <c r="I14" s="1232"/>
      <c r="J14" s="1232"/>
      <c r="K14" s="1232"/>
      <c r="L14" s="1257"/>
      <c r="M14" s="1239"/>
      <c r="N14" s="1239"/>
      <c r="P14" s="1234"/>
      <c r="Q14" s="1235"/>
      <c r="R14" s="1234"/>
      <c r="S14" s="1240"/>
      <c r="T14" s="1241" t="s">
        <v>161</v>
      </c>
      <c r="U14" s="1242"/>
      <c r="V14" s="1242"/>
      <c r="W14" s="1242"/>
      <c r="X14" s="1242"/>
      <c r="Y14" s="1242"/>
      <c r="Z14" s="1242"/>
      <c r="AA14" s="1242"/>
      <c r="AB14" s="1242"/>
      <c r="AC14" s="1242"/>
      <c r="AD14" s="1242"/>
      <c r="AE14" s="1242"/>
      <c r="AF14" s="1242"/>
      <c r="AG14" s="1242"/>
      <c r="AH14" s="1242"/>
      <c r="AI14" s="1242"/>
      <c r="AJ14" s="1242"/>
      <c r="AK14" s="1242"/>
      <c r="AL14" s="2272"/>
      <c r="AM14" s="2272"/>
      <c r="AN14" s="2272"/>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c r="BP14" s="2272"/>
      <c r="BQ14" s="2272"/>
      <c r="BR14" s="2272"/>
      <c r="BS14" s="2272"/>
      <c r="BT14" s="2272"/>
      <c r="BU14" s="2272"/>
      <c r="BV14" s="2272"/>
      <c r="BW14" s="2272"/>
      <c r="BX14" s="2272"/>
      <c r="BY14" s="2272"/>
      <c r="BZ14" s="2272"/>
      <c r="CA14" s="2272"/>
      <c r="CB14" s="2272"/>
      <c r="CC14" s="2272"/>
      <c r="CD14" s="2272"/>
      <c r="CE14" s="2272"/>
      <c r="CF14" s="2272"/>
      <c r="CG14" s="2272"/>
      <c r="CH14" s="2272"/>
      <c r="CI14" s="2272"/>
      <c r="CJ14" s="2272"/>
      <c r="CK14" s="2272"/>
      <c r="CL14" s="2272"/>
      <c r="CM14" s="2272"/>
      <c r="CN14" s="2272"/>
      <c r="CO14" s="2272"/>
      <c r="CP14" s="2272"/>
      <c r="CQ14" s="2272"/>
      <c r="CR14" s="2272"/>
      <c r="CS14" s="2272"/>
      <c r="CT14" s="2272"/>
      <c r="CU14" s="2272"/>
      <c r="CV14" s="2272"/>
      <c r="CW14" s="2272"/>
      <c r="CX14" s="2272"/>
      <c r="CY14" s="2272"/>
      <c r="CZ14" s="2272"/>
      <c r="DA14" s="2272"/>
      <c r="DB14" s="2272"/>
      <c r="DC14" s="2272"/>
      <c r="DD14" s="2272"/>
      <c r="DE14" s="2272"/>
      <c r="DF14" s="1242"/>
      <c r="DG14" s="1242"/>
      <c r="DI14" s="718"/>
      <c r="DJ14" s="718" t="str">
        <f t="shared" si="0"/>
        <v>Добавить централизованную систему для дифференциации</v>
      </c>
      <c r="DK14" s="718"/>
      <c r="DL14" s="718"/>
      <c r="DM14" s="453">
        <v>0</v>
      </c>
    </row>
    <row r="15" spans="1:117" s="2520" customFormat="1" ht="0.75" hidden="1" customHeight="1">
      <c r="A15" s="1232"/>
      <c r="B15" s="1232"/>
      <c r="C15" s="1232"/>
      <c r="D15" s="1232"/>
      <c r="E15" s="2778"/>
      <c r="F15" s="1232"/>
      <c r="G15" s="1232"/>
      <c r="H15" s="1232"/>
      <c r="I15" s="1232"/>
      <c r="J15" s="1232"/>
      <c r="K15" s="1232"/>
      <c r="L15" s="1257"/>
      <c r="M15" s="1239"/>
      <c r="N15" s="1239"/>
      <c r="P15" s="1234"/>
      <c r="Q15" s="1235"/>
      <c r="R15" s="1234"/>
      <c r="S15" s="1240"/>
      <c r="T15" s="1243" t="s">
        <v>162</v>
      </c>
      <c r="U15" s="1242"/>
      <c r="V15" s="1242"/>
      <c r="W15" s="1242"/>
      <c r="X15" s="1242"/>
      <c r="Y15" s="1242"/>
      <c r="Z15" s="1242"/>
      <c r="AA15" s="1242"/>
      <c r="AB15" s="1242"/>
      <c r="AC15" s="1242"/>
      <c r="AD15" s="1242"/>
      <c r="AE15" s="1242"/>
      <c r="AF15" s="1242"/>
      <c r="AG15" s="1242"/>
      <c r="AH15" s="1242"/>
      <c r="AI15" s="1242"/>
      <c r="AJ15" s="1242"/>
      <c r="AK15" s="1242"/>
      <c r="AL15" s="2272"/>
      <c r="AM15" s="2272"/>
      <c r="AN15" s="2272"/>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c r="BP15" s="2272"/>
      <c r="BQ15" s="2272"/>
      <c r="BR15" s="2272"/>
      <c r="BS15" s="2272"/>
      <c r="BT15" s="2272"/>
      <c r="BU15" s="2272"/>
      <c r="BV15" s="2272"/>
      <c r="BW15" s="2272"/>
      <c r="BX15" s="2272"/>
      <c r="BY15" s="2272"/>
      <c r="BZ15" s="2272"/>
      <c r="CA15" s="2272"/>
      <c r="CB15" s="2272"/>
      <c r="CC15" s="2272"/>
      <c r="CD15" s="2272"/>
      <c r="CE15" s="2272"/>
      <c r="CF15" s="2272"/>
      <c r="CG15" s="2272"/>
      <c r="CH15" s="2272"/>
      <c r="CI15" s="2272"/>
      <c r="CJ15" s="2272"/>
      <c r="CK15" s="2272"/>
      <c r="CL15" s="2272"/>
      <c r="CM15" s="2272"/>
      <c r="CN15" s="2272"/>
      <c r="CO15" s="2272"/>
      <c r="CP15" s="2272"/>
      <c r="CQ15" s="2272"/>
      <c r="CR15" s="2272"/>
      <c r="CS15" s="2272"/>
      <c r="CT15" s="2272"/>
      <c r="CU15" s="2272"/>
      <c r="CV15" s="2272"/>
      <c r="CW15" s="2272"/>
      <c r="CX15" s="2272"/>
      <c r="CY15" s="2272"/>
      <c r="CZ15" s="2272"/>
      <c r="DA15" s="2272"/>
      <c r="DB15" s="2272"/>
      <c r="DC15" s="2272"/>
      <c r="DD15" s="2272"/>
      <c r="DE15" s="2272"/>
      <c r="DF15" s="1242"/>
      <c r="DG15" s="1242"/>
      <c r="DI15" s="718"/>
      <c r="DJ15" s="718" t="str">
        <f t="shared" si="0"/>
        <v>Добавить территорию для дифференциации</v>
      </c>
      <c r="DK15" s="718"/>
      <c r="DL15" s="718"/>
      <c r="DM15" s="453">
        <v>0</v>
      </c>
    </row>
    <row r="16" spans="1:117" ht="14.25" hidden="1" customHeight="1">
      <c r="AC16" s="263"/>
      <c r="AK16" s="263"/>
      <c r="AL16" s="2050"/>
      <c r="AM16" s="2050"/>
      <c r="AN16" s="2050"/>
      <c r="AO16" s="2050"/>
      <c r="AP16" s="2050"/>
      <c r="AQ16" s="2050"/>
      <c r="AR16" s="2050"/>
      <c r="AS16" s="2050"/>
      <c r="AT16" s="2050"/>
      <c r="AU16" s="2050"/>
      <c r="AV16" s="2050"/>
      <c r="AW16" s="2050"/>
      <c r="AX16" s="2050"/>
      <c r="AY16" s="2050"/>
      <c r="AZ16" s="2050"/>
      <c r="BA16" s="2050"/>
      <c r="BB16" s="2050"/>
      <c r="BC16" s="2050"/>
      <c r="BD16" s="2050"/>
      <c r="BE16" s="2050"/>
      <c r="BF16" s="2050"/>
      <c r="BG16" s="2050"/>
      <c r="BH16" s="2050"/>
      <c r="BI16" s="2050"/>
      <c r="BJ16" s="2050"/>
      <c r="BK16" s="2050"/>
      <c r="BL16" s="2050"/>
      <c r="BM16" s="2050"/>
      <c r="BN16" s="2050"/>
      <c r="BO16" s="2050"/>
      <c r="BP16" s="2050"/>
      <c r="BQ16" s="2050"/>
      <c r="BR16" s="2050"/>
      <c r="BS16" s="2050"/>
      <c r="BT16" s="2050"/>
      <c r="BU16" s="2050"/>
      <c r="BV16" s="2050"/>
      <c r="BW16" s="2050"/>
      <c r="BX16" s="2050"/>
      <c r="BY16" s="2050"/>
      <c r="BZ16" s="2050"/>
      <c r="CA16" s="2050"/>
      <c r="CB16" s="2050"/>
      <c r="CC16" s="2050"/>
      <c r="CD16" s="2050"/>
      <c r="CE16" s="2050"/>
      <c r="CF16" s="2050"/>
      <c r="CG16" s="2050"/>
      <c r="CH16" s="2050"/>
      <c r="CI16" s="2050"/>
      <c r="CJ16" s="2050"/>
      <c r="CK16" s="2050"/>
      <c r="CL16" s="2050"/>
      <c r="CM16" s="2050"/>
      <c r="CN16" s="2050"/>
      <c r="CO16" s="2050"/>
      <c r="CP16" s="2050"/>
      <c r="CQ16" s="2050"/>
      <c r="CR16" s="2050"/>
      <c r="CS16" s="2050"/>
      <c r="CT16" s="2050"/>
      <c r="CU16" s="2050"/>
      <c r="CV16" s="2050"/>
      <c r="CW16" s="2050"/>
      <c r="CX16" s="2050"/>
      <c r="CY16" s="2050"/>
      <c r="CZ16" s="2050"/>
      <c r="DA16" s="2050"/>
      <c r="DB16" s="2050"/>
      <c r="DC16" s="2050"/>
      <c r="DD16" s="2050"/>
      <c r="DE16" s="2050"/>
      <c r="DM16" s="1073">
        <v>0</v>
      </c>
    </row>
    <row r="17" spans="1:117" ht="14.25" hidden="1" customHeight="1">
      <c r="P17" s="1229"/>
      <c r="AD17" s="1278"/>
      <c r="AE17" s="1278"/>
      <c r="AF17" s="1278"/>
      <c r="AG17" s="1279"/>
      <c r="AH17" s="2780"/>
      <c r="AI17" s="2781" t="s">
        <v>66</v>
      </c>
      <c r="AJ17" s="2780"/>
      <c r="AK17" s="2781" t="s">
        <v>66</v>
      </c>
      <c r="AL17" s="2050"/>
      <c r="AM17" s="2050"/>
      <c r="AN17" s="2050"/>
      <c r="AO17" s="2050"/>
      <c r="AP17" s="2050"/>
      <c r="AQ17" s="2050"/>
      <c r="AR17" s="2050"/>
      <c r="AS17" s="2050"/>
      <c r="AT17" s="2050"/>
      <c r="AU17" s="2050"/>
      <c r="AV17" s="2050"/>
      <c r="AW17" s="2050"/>
      <c r="AX17" s="2050"/>
      <c r="AY17" s="2050"/>
      <c r="AZ17" s="2050"/>
      <c r="BA17" s="2050"/>
      <c r="BB17" s="2050"/>
      <c r="BC17" s="2050"/>
      <c r="BD17" s="2050"/>
      <c r="BE17" s="2050"/>
      <c r="BF17" s="2050"/>
      <c r="BG17" s="2050"/>
      <c r="BH17" s="2050"/>
      <c r="BI17" s="2050"/>
      <c r="BJ17" s="2050"/>
      <c r="BK17" s="2050"/>
      <c r="BL17" s="2050"/>
      <c r="BM17" s="2050"/>
      <c r="BN17" s="2050"/>
      <c r="BO17" s="2050"/>
      <c r="BP17" s="2050"/>
      <c r="BQ17" s="2050"/>
      <c r="BR17" s="2050"/>
      <c r="BS17" s="2050"/>
      <c r="BT17" s="2050"/>
      <c r="BU17" s="2050"/>
      <c r="BV17" s="2050"/>
      <c r="BW17" s="2050"/>
      <c r="BX17" s="2050"/>
      <c r="BY17" s="2050"/>
      <c r="BZ17" s="2050"/>
      <c r="CA17" s="2050"/>
      <c r="CB17" s="2050"/>
      <c r="CC17" s="2050"/>
      <c r="CD17" s="2050"/>
      <c r="CE17" s="2050"/>
      <c r="CF17" s="2050"/>
      <c r="CG17" s="2050"/>
      <c r="CH17" s="2050"/>
      <c r="CI17" s="2050"/>
      <c r="CJ17" s="2050"/>
      <c r="CK17" s="2050"/>
      <c r="CL17" s="2050"/>
      <c r="CM17" s="2050"/>
      <c r="CN17" s="2050"/>
      <c r="CO17" s="2050"/>
      <c r="CP17" s="2050"/>
      <c r="CQ17" s="2050"/>
      <c r="CR17" s="2050"/>
      <c r="CS17" s="2050"/>
      <c r="CT17" s="2050"/>
      <c r="CU17" s="2050"/>
      <c r="CV17" s="2050"/>
      <c r="CW17" s="2050"/>
      <c r="CX17" s="2050"/>
      <c r="CY17" s="2050"/>
      <c r="CZ17" s="2050"/>
      <c r="DA17" s="2050"/>
      <c r="DB17" s="2050"/>
      <c r="DC17" s="2050"/>
      <c r="DD17" s="2050"/>
      <c r="DE17" s="2050"/>
      <c r="DM17" s="1073">
        <v>0</v>
      </c>
    </row>
    <row r="18" spans="1:117" ht="14.25" hidden="1" customHeight="1">
      <c r="P18" s="1229"/>
      <c r="AD18" s="1278"/>
      <c r="AE18" s="1278"/>
      <c r="AF18" s="1278"/>
      <c r="AG18" s="264" t="str">
        <f>AH17&amp;"-"&amp;AJ17</f>
        <v>-</v>
      </c>
      <c r="AH18" s="2781"/>
      <c r="AI18" s="2781"/>
      <c r="AJ18" s="2781"/>
      <c r="AK18" s="2781"/>
      <c r="AL18" s="2050"/>
      <c r="AM18" s="2050"/>
      <c r="AN18" s="2050"/>
      <c r="AO18" s="2050"/>
      <c r="AP18" s="2050"/>
      <c r="AQ18" s="2050"/>
      <c r="AR18" s="2050"/>
      <c r="AS18" s="2050"/>
      <c r="AT18" s="2050"/>
      <c r="AU18" s="2050"/>
      <c r="AV18" s="2050"/>
      <c r="AW18" s="2050"/>
      <c r="AX18" s="2050"/>
      <c r="AY18" s="2050"/>
      <c r="AZ18" s="2050"/>
      <c r="BA18" s="2050"/>
      <c r="BB18" s="2050"/>
      <c r="BC18" s="2050"/>
      <c r="BD18" s="2050"/>
      <c r="BE18" s="2050"/>
      <c r="BF18" s="2050"/>
      <c r="BG18" s="2050"/>
      <c r="BH18" s="2050"/>
      <c r="BI18" s="2050"/>
      <c r="BJ18" s="2050"/>
      <c r="BK18" s="2050"/>
      <c r="BL18" s="2050"/>
      <c r="BM18" s="2050"/>
      <c r="BN18" s="2050"/>
      <c r="BO18" s="2050"/>
      <c r="BP18" s="2050"/>
      <c r="BQ18" s="2050"/>
      <c r="BR18" s="2050"/>
      <c r="BS18" s="2050"/>
      <c r="BT18" s="2050"/>
      <c r="BU18" s="2050"/>
      <c r="BV18" s="2050"/>
      <c r="BW18" s="2050"/>
      <c r="BX18" s="2050"/>
      <c r="BY18" s="2050"/>
      <c r="BZ18" s="2050"/>
      <c r="CA18" s="2050"/>
      <c r="CB18" s="2050"/>
      <c r="CC18" s="2050"/>
      <c r="CD18" s="2050"/>
      <c r="CE18" s="2050"/>
      <c r="CF18" s="2050"/>
      <c r="CG18" s="2050"/>
      <c r="CH18" s="2050"/>
      <c r="CI18" s="2050"/>
      <c r="CJ18" s="2050"/>
      <c r="CK18" s="2050"/>
      <c r="CL18" s="2050"/>
      <c r="CM18" s="2050"/>
      <c r="CN18" s="2050"/>
      <c r="CO18" s="2050"/>
      <c r="CP18" s="2050"/>
      <c r="CQ18" s="2050"/>
      <c r="CR18" s="2050"/>
      <c r="CS18" s="2050"/>
      <c r="CT18" s="2050"/>
      <c r="CU18" s="2050"/>
      <c r="CV18" s="2050"/>
      <c r="CW18" s="2050"/>
      <c r="CX18" s="2050"/>
      <c r="CY18" s="2050"/>
      <c r="CZ18" s="2050"/>
      <c r="DA18" s="2050"/>
      <c r="DB18" s="2050"/>
      <c r="DC18" s="2050"/>
      <c r="DD18" s="2050"/>
      <c r="DE18" s="2050"/>
      <c r="DM18" s="1073">
        <v>0</v>
      </c>
    </row>
    <row r="19" spans="1:117" ht="14.25" hidden="1" customHeight="1">
      <c r="P19" s="1229"/>
      <c r="AK19" s="263"/>
      <c r="AL19" s="2050"/>
      <c r="AM19" s="2050"/>
      <c r="AN19" s="2050"/>
      <c r="AO19" s="2050"/>
      <c r="AP19" s="2050"/>
      <c r="AQ19" s="2050"/>
      <c r="AR19" s="2050"/>
      <c r="AS19" s="2050"/>
      <c r="AT19" s="2050"/>
      <c r="AU19" s="2050"/>
      <c r="AV19" s="2050"/>
      <c r="AW19" s="2050"/>
      <c r="AX19" s="2050"/>
      <c r="AY19" s="2050"/>
      <c r="AZ19" s="2050"/>
      <c r="BA19" s="2050"/>
      <c r="BB19" s="2050"/>
      <c r="BC19" s="2050"/>
      <c r="BD19" s="2050"/>
      <c r="BE19" s="2050"/>
      <c r="BF19" s="2050"/>
      <c r="BG19" s="2050"/>
      <c r="BH19" s="2050"/>
      <c r="BI19" s="2050"/>
      <c r="BJ19" s="2050"/>
      <c r="BK19" s="2050"/>
      <c r="BL19" s="2050"/>
      <c r="BM19" s="2050"/>
      <c r="BN19" s="2050"/>
      <c r="BO19" s="2050"/>
      <c r="BP19" s="2050"/>
      <c r="BQ19" s="2050"/>
      <c r="BR19" s="2050"/>
      <c r="BS19" s="2050"/>
      <c r="BT19" s="2050"/>
      <c r="BU19" s="2050"/>
      <c r="BV19" s="2050"/>
      <c r="BW19" s="2050"/>
      <c r="BX19" s="2050"/>
      <c r="BY19" s="2050"/>
      <c r="BZ19" s="2050"/>
      <c r="CA19" s="2050"/>
      <c r="CB19" s="2050"/>
      <c r="CC19" s="2050"/>
      <c r="CD19" s="2050"/>
      <c r="CE19" s="2050"/>
      <c r="CF19" s="2050"/>
      <c r="CG19" s="2050"/>
      <c r="CH19" s="2050"/>
      <c r="CI19" s="2050"/>
      <c r="CJ19" s="2050"/>
      <c r="CK19" s="2050"/>
      <c r="CL19" s="2050"/>
      <c r="CM19" s="2050"/>
      <c r="CN19" s="2050"/>
      <c r="CO19" s="2050"/>
      <c r="CP19" s="2050"/>
      <c r="CQ19" s="2050"/>
      <c r="CR19" s="2050"/>
      <c r="CS19" s="2050"/>
      <c r="CT19" s="2050"/>
      <c r="CU19" s="2050"/>
      <c r="CV19" s="2050"/>
      <c r="CW19" s="2050"/>
      <c r="CX19" s="2050"/>
      <c r="CY19" s="2050"/>
      <c r="CZ19" s="2050"/>
      <c r="DA19" s="2050"/>
      <c r="DB19" s="2050"/>
      <c r="DC19" s="2050"/>
      <c r="DD19" s="2050"/>
      <c r="DE19" s="2050"/>
      <c r="DM19" s="1073">
        <v>0</v>
      </c>
    </row>
    <row r="20" spans="1:117" s="2519" customFormat="1" ht="22.5" hidden="1" customHeight="1">
      <c r="L20" s="1247"/>
      <c r="M20" s="1280"/>
      <c r="N20" s="1280"/>
      <c r="O20" s="1285" t="s">
        <v>416</v>
      </c>
      <c r="P20" s="1280"/>
      <c r="Q20" s="1289"/>
      <c r="R20" s="1289"/>
      <c r="S20" s="664"/>
      <c r="Z20" s="1285"/>
      <c r="AB20" s="1285"/>
      <c r="AC20" s="1284"/>
      <c r="AH20" s="1285"/>
      <c r="AJ20" s="1285"/>
      <c r="AK20" s="1284"/>
      <c r="AL20" s="2273"/>
      <c r="AM20" s="2273"/>
      <c r="AN20" s="2273"/>
      <c r="AO20" s="2273"/>
      <c r="AP20" s="2274"/>
      <c r="AQ20" s="2273"/>
      <c r="AR20" s="2274"/>
      <c r="AS20" s="2273"/>
      <c r="AT20" s="2273"/>
      <c r="AU20" s="2273"/>
      <c r="AV20" s="2273"/>
      <c r="AW20" s="2273"/>
      <c r="AX20" s="2274"/>
      <c r="AY20" s="2273"/>
      <c r="AZ20" s="2274"/>
      <c r="BA20" s="2273"/>
      <c r="BB20" s="2273"/>
      <c r="BC20" s="2273"/>
      <c r="BD20" s="2273"/>
      <c r="BE20" s="2273"/>
      <c r="BF20" s="2274"/>
      <c r="BG20" s="2273"/>
      <c r="BH20" s="2274"/>
      <c r="BI20" s="2273"/>
      <c r="BJ20" s="2273"/>
      <c r="BK20" s="2273"/>
      <c r="BL20" s="2273"/>
      <c r="BM20" s="2273"/>
      <c r="BN20" s="2274"/>
      <c r="BO20" s="2273"/>
      <c r="BP20" s="2274"/>
      <c r="BQ20" s="2273"/>
      <c r="BR20" s="2273"/>
      <c r="BS20" s="2273"/>
      <c r="BT20" s="2273"/>
      <c r="BU20" s="2273"/>
      <c r="BV20" s="2274"/>
      <c r="BW20" s="2273"/>
      <c r="BX20" s="2274"/>
      <c r="BY20" s="2273"/>
      <c r="BZ20" s="2273"/>
      <c r="CA20" s="2273"/>
      <c r="CB20" s="2273"/>
      <c r="CC20" s="2273"/>
      <c r="CD20" s="2274"/>
      <c r="CE20" s="2273"/>
      <c r="CF20" s="2274"/>
      <c r="CG20" s="2273"/>
      <c r="CH20" s="2273"/>
      <c r="CI20" s="2273"/>
      <c r="CJ20" s="2273"/>
      <c r="CK20" s="2273"/>
      <c r="CL20" s="2274"/>
      <c r="CM20" s="2273"/>
      <c r="CN20" s="2274"/>
      <c r="CO20" s="2273"/>
      <c r="CP20" s="2273"/>
      <c r="CQ20" s="2273"/>
      <c r="CR20" s="2273"/>
      <c r="CS20" s="2273"/>
      <c r="CT20" s="2274"/>
      <c r="CU20" s="2273"/>
      <c r="CV20" s="2274"/>
      <c r="CW20" s="2273"/>
      <c r="CX20" s="2273"/>
      <c r="CY20" s="2273"/>
      <c r="CZ20" s="2273"/>
      <c r="DA20" s="2273"/>
      <c r="DB20" s="2274"/>
      <c r="DC20" s="2273"/>
      <c r="DD20" s="2274"/>
      <c r="DE20" s="2273"/>
      <c r="DH20" s="446"/>
      <c r="DI20" s="446"/>
      <c r="DJ20" s="446"/>
      <c r="DK20" s="446"/>
      <c r="DL20" s="446"/>
      <c r="DM20" s="1078">
        <v>0</v>
      </c>
    </row>
    <row r="21" spans="1:117" s="2519" customFormat="1" ht="14.25" hidden="1" customHeight="1">
      <c r="L21" s="1247"/>
      <c r="M21" s="1280"/>
      <c r="N21" s="1280"/>
      <c r="O21" s="1280"/>
      <c r="P21" s="1280"/>
      <c r="Q21" s="1289"/>
      <c r="R21" s="1289"/>
      <c r="S21" s="664"/>
      <c r="AC21" s="1284"/>
      <c r="AK21" s="1284"/>
      <c r="AL21" s="2273"/>
      <c r="AM21" s="2273"/>
      <c r="AN21" s="2273"/>
      <c r="AO21" s="2273"/>
      <c r="AP21" s="2273"/>
      <c r="AQ21" s="2273"/>
      <c r="AR21" s="2273"/>
      <c r="AS21" s="2273"/>
      <c r="AT21" s="2273"/>
      <c r="AU21" s="2273"/>
      <c r="AV21" s="2273"/>
      <c r="AW21" s="2273"/>
      <c r="AX21" s="2273"/>
      <c r="AY21" s="2273"/>
      <c r="AZ21" s="2273"/>
      <c r="BA21" s="2273"/>
      <c r="BB21" s="2273"/>
      <c r="BC21" s="2273"/>
      <c r="BD21" s="2273"/>
      <c r="BE21" s="2273"/>
      <c r="BF21" s="2273"/>
      <c r="BG21" s="2273"/>
      <c r="BH21" s="2273"/>
      <c r="BI21" s="2273"/>
      <c r="BJ21" s="2273"/>
      <c r="BK21" s="2273"/>
      <c r="BL21" s="2273"/>
      <c r="BM21" s="2273"/>
      <c r="BN21" s="2273"/>
      <c r="BO21" s="2273"/>
      <c r="BP21" s="2273"/>
      <c r="BQ21" s="2273"/>
      <c r="BR21" s="2273"/>
      <c r="BS21" s="2273"/>
      <c r="BT21" s="2273"/>
      <c r="BU21" s="2273"/>
      <c r="BV21" s="2273"/>
      <c r="BW21" s="2273"/>
      <c r="BX21" s="2273"/>
      <c r="BY21" s="2273"/>
      <c r="BZ21" s="2273"/>
      <c r="CA21" s="2273"/>
      <c r="CB21" s="2273"/>
      <c r="CC21" s="2273"/>
      <c r="CD21" s="2273"/>
      <c r="CE21" s="2273"/>
      <c r="CF21" s="2273"/>
      <c r="CG21" s="2273"/>
      <c r="CH21" s="2273"/>
      <c r="CI21" s="2273"/>
      <c r="CJ21" s="2273"/>
      <c r="CK21" s="2273"/>
      <c r="CL21" s="2273"/>
      <c r="CM21" s="2273"/>
      <c r="CN21" s="2273"/>
      <c r="CO21" s="2273"/>
      <c r="CP21" s="2273"/>
      <c r="CQ21" s="2273"/>
      <c r="CR21" s="2273"/>
      <c r="CS21" s="2273"/>
      <c r="CT21" s="2273"/>
      <c r="CU21" s="2273"/>
      <c r="CV21" s="2273"/>
      <c r="CW21" s="2273"/>
      <c r="CX21" s="2273"/>
      <c r="CY21" s="2273"/>
      <c r="CZ21" s="2273"/>
      <c r="DA21" s="2273"/>
      <c r="DB21" s="2273"/>
      <c r="DC21" s="2273"/>
      <c r="DD21" s="2273"/>
      <c r="DE21" s="2273"/>
      <c r="DH21" s="446"/>
      <c r="DI21" s="446"/>
      <c r="DJ21" s="446"/>
      <c r="DK21" s="446"/>
      <c r="DL21" s="446"/>
      <c r="DM21" s="1078">
        <v>0</v>
      </c>
    </row>
    <row r="22" spans="1:117" s="2519"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L22" s="2273"/>
      <c r="AM22" s="2273"/>
      <c r="AN22" s="2273"/>
      <c r="AO22" s="2273"/>
      <c r="AP22" s="2273"/>
      <c r="AQ22" s="2275" t="s">
        <v>419</v>
      </c>
      <c r="AR22" s="2273"/>
      <c r="AS22" s="2275" t="s">
        <v>420</v>
      </c>
      <c r="AT22" s="2273"/>
      <c r="AU22" s="2273"/>
      <c r="AV22" s="2273"/>
      <c r="AW22" s="2273"/>
      <c r="AX22" s="2273"/>
      <c r="AY22" s="2275" t="s">
        <v>419</v>
      </c>
      <c r="AZ22" s="2273"/>
      <c r="BA22" s="2275" t="s">
        <v>420</v>
      </c>
      <c r="BB22" s="2273"/>
      <c r="BC22" s="2273"/>
      <c r="BD22" s="2273"/>
      <c r="BE22" s="2273"/>
      <c r="BF22" s="2273"/>
      <c r="BG22" s="2275" t="s">
        <v>419</v>
      </c>
      <c r="BH22" s="2273"/>
      <c r="BI22" s="2275" t="s">
        <v>420</v>
      </c>
      <c r="BJ22" s="2273"/>
      <c r="BK22" s="2273"/>
      <c r="BL22" s="2273"/>
      <c r="BM22" s="2273"/>
      <c r="BN22" s="2273"/>
      <c r="BO22" s="2275" t="s">
        <v>419</v>
      </c>
      <c r="BP22" s="2273"/>
      <c r="BQ22" s="2275" t="s">
        <v>420</v>
      </c>
      <c r="BR22" s="2273"/>
      <c r="BS22" s="2273"/>
      <c r="BT22" s="2273"/>
      <c r="BU22" s="2273"/>
      <c r="BV22" s="2273"/>
      <c r="BW22" s="2275" t="s">
        <v>419</v>
      </c>
      <c r="BX22" s="2273"/>
      <c r="BY22" s="2275" t="s">
        <v>420</v>
      </c>
      <c r="BZ22" s="2273"/>
      <c r="CA22" s="2273"/>
      <c r="CB22" s="2273"/>
      <c r="CC22" s="2273"/>
      <c r="CD22" s="2273"/>
      <c r="CE22" s="2275" t="s">
        <v>419</v>
      </c>
      <c r="CF22" s="2273"/>
      <c r="CG22" s="2275" t="s">
        <v>420</v>
      </c>
      <c r="CH22" s="2273"/>
      <c r="CI22" s="2273"/>
      <c r="CJ22" s="2273"/>
      <c r="CK22" s="2273"/>
      <c r="CL22" s="2273"/>
      <c r="CM22" s="2275" t="s">
        <v>419</v>
      </c>
      <c r="CN22" s="2273"/>
      <c r="CO22" s="2275" t="s">
        <v>420</v>
      </c>
      <c r="CP22" s="2273"/>
      <c r="CQ22" s="2273"/>
      <c r="CR22" s="2273"/>
      <c r="CS22" s="2273"/>
      <c r="CT22" s="2273"/>
      <c r="CU22" s="2275" t="s">
        <v>419</v>
      </c>
      <c r="CV22" s="2273"/>
      <c r="CW22" s="2275" t="s">
        <v>420</v>
      </c>
      <c r="CX22" s="2273"/>
      <c r="CY22" s="2273"/>
      <c r="CZ22" s="2273"/>
      <c r="DA22" s="2273"/>
      <c r="DB22" s="2273"/>
      <c r="DC22" s="2275" t="s">
        <v>419</v>
      </c>
      <c r="DD22" s="2273"/>
      <c r="DE22" s="2275" t="s">
        <v>420</v>
      </c>
      <c r="DH22" s="446"/>
      <c r="DI22" s="446"/>
      <c r="DJ22" s="446"/>
      <c r="DK22" s="446"/>
      <c r="DL22" s="446"/>
      <c r="DM22" s="1078">
        <v>0</v>
      </c>
    </row>
    <row r="23" spans="1:117" ht="14.25" hidden="1" customHeight="1">
      <c r="O23" s="1282"/>
      <c r="P23" s="1229"/>
      <c r="AL23" s="2050"/>
      <c r="AM23" s="2050"/>
      <c r="AN23" s="2050"/>
      <c r="AO23" s="2050"/>
      <c r="AP23" s="2050"/>
      <c r="AQ23" s="2050"/>
      <c r="AR23" s="2050"/>
      <c r="AS23" s="2050"/>
      <c r="AT23" s="2050"/>
      <c r="AU23" s="2050"/>
      <c r="AV23" s="2050"/>
      <c r="AW23" s="2050"/>
      <c r="AX23" s="2050"/>
      <c r="AY23" s="2050"/>
      <c r="AZ23" s="2050"/>
      <c r="BA23" s="2050"/>
      <c r="BB23" s="2050"/>
      <c r="BC23" s="2050"/>
      <c r="BD23" s="2050"/>
      <c r="BE23" s="2050"/>
      <c r="BF23" s="2050"/>
      <c r="BG23" s="2050"/>
      <c r="BH23" s="2050"/>
      <c r="BI23" s="2050"/>
      <c r="BJ23" s="2050"/>
      <c r="BK23" s="2050"/>
      <c r="BL23" s="2050"/>
      <c r="BM23" s="2050"/>
      <c r="BN23" s="2050"/>
      <c r="BO23" s="2050"/>
      <c r="BP23" s="2050"/>
      <c r="BQ23" s="2050"/>
      <c r="BR23" s="2050"/>
      <c r="BS23" s="2050"/>
      <c r="BT23" s="2050"/>
      <c r="BU23" s="2050"/>
      <c r="BV23" s="2050"/>
      <c r="BW23" s="2050"/>
      <c r="BX23" s="2050"/>
      <c r="BY23" s="2050"/>
      <c r="BZ23" s="2050"/>
      <c r="CA23" s="2050"/>
      <c r="CB23" s="2050"/>
      <c r="CC23" s="2050"/>
      <c r="CD23" s="2050"/>
      <c r="CE23" s="2050"/>
      <c r="CF23" s="2050"/>
      <c r="CG23" s="2050"/>
      <c r="CH23" s="2050"/>
      <c r="CI23" s="2050"/>
      <c r="CJ23" s="2050"/>
      <c r="CK23" s="2050"/>
      <c r="CL23" s="2050"/>
      <c r="CM23" s="2050"/>
      <c r="CN23" s="2050"/>
      <c r="CO23" s="2050"/>
      <c r="CP23" s="2050"/>
      <c r="CQ23" s="2050"/>
      <c r="CR23" s="2050"/>
      <c r="CS23" s="2050"/>
      <c r="CT23" s="2050"/>
      <c r="CU23" s="2050"/>
      <c r="CV23" s="2050"/>
      <c r="CW23" s="2050"/>
      <c r="CX23" s="2050"/>
      <c r="CY23" s="2050"/>
      <c r="CZ23" s="2050"/>
      <c r="DA23" s="2050"/>
      <c r="DB23" s="2050"/>
      <c r="DC23" s="2050"/>
      <c r="DD23" s="2050"/>
      <c r="DE23" s="2050"/>
      <c r="DM23" s="1073">
        <v>0</v>
      </c>
    </row>
    <row r="24" spans="1:117" ht="14.25" hidden="1" customHeight="1">
      <c r="O24" s="1282"/>
      <c r="P24" s="1229"/>
      <c r="AL24" s="2050"/>
      <c r="AM24" s="2050"/>
      <c r="AN24" s="2050"/>
      <c r="AO24" s="2050"/>
      <c r="AP24" s="2050"/>
      <c r="AQ24" s="2050"/>
      <c r="AR24" s="2050"/>
      <c r="AS24" s="2050"/>
      <c r="AT24" s="2050"/>
      <c r="AU24" s="2050"/>
      <c r="AV24" s="2050"/>
      <c r="AW24" s="2050"/>
      <c r="AX24" s="2050"/>
      <c r="AY24" s="2050"/>
      <c r="AZ24" s="2050"/>
      <c r="BA24" s="2050"/>
      <c r="BB24" s="2050"/>
      <c r="BC24" s="2050"/>
      <c r="BD24" s="2050"/>
      <c r="BE24" s="2050"/>
      <c r="BF24" s="2050"/>
      <c r="BG24" s="2050"/>
      <c r="BH24" s="2050"/>
      <c r="BI24" s="2050"/>
      <c r="BJ24" s="2050"/>
      <c r="BK24" s="2050"/>
      <c r="BL24" s="2050"/>
      <c r="BM24" s="2050"/>
      <c r="BN24" s="2050"/>
      <c r="BO24" s="2050"/>
      <c r="BP24" s="2050"/>
      <c r="BQ24" s="2050"/>
      <c r="BR24" s="2050"/>
      <c r="BS24" s="2050"/>
      <c r="BT24" s="2050"/>
      <c r="BU24" s="2050"/>
      <c r="BV24" s="2050"/>
      <c r="BW24" s="2050"/>
      <c r="BX24" s="2050"/>
      <c r="BY24" s="2050"/>
      <c r="BZ24" s="2050"/>
      <c r="CA24" s="2050"/>
      <c r="CB24" s="2050"/>
      <c r="CC24" s="2050"/>
      <c r="CD24" s="2050"/>
      <c r="CE24" s="2050"/>
      <c r="CF24" s="2050"/>
      <c r="CG24" s="2050"/>
      <c r="CH24" s="2050"/>
      <c r="CI24" s="2050"/>
      <c r="CJ24" s="2050"/>
      <c r="CK24" s="2050"/>
      <c r="CL24" s="2050"/>
      <c r="CM24" s="2050"/>
      <c r="CN24" s="2050"/>
      <c r="CO24" s="2050"/>
      <c r="CP24" s="2050"/>
      <c r="CQ24" s="2050"/>
      <c r="CR24" s="2050"/>
      <c r="CS24" s="2050"/>
      <c r="CT24" s="2050"/>
      <c r="CU24" s="2050"/>
      <c r="CV24" s="2050"/>
      <c r="CW24" s="2050"/>
      <c r="CX24" s="2050"/>
      <c r="CY24" s="2050"/>
      <c r="CZ24" s="2050"/>
      <c r="DA24" s="2050"/>
      <c r="DB24" s="2050"/>
      <c r="DC24" s="2050"/>
      <c r="DD24" s="2050"/>
      <c r="DE24" s="2050"/>
      <c r="DM24" s="1073">
        <v>0</v>
      </c>
    </row>
    <row r="25" spans="1:117"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L25" s="2050"/>
      <c r="AM25" s="2050"/>
      <c r="AN25" s="2050"/>
      <c r="AO25" s="2050"/>
      <c r="AP25" s="2050"/>
      <c r="AQ25" s="2050"/>
      <c r="AR25" s="2050"/>
      <c r="AS25" s="2050"/>
      <c r="AT25" s="2050"/>
      <c r="AU25" s="2050"/>
      <c r="AV25" s="2050"/>
      <c r="AW25" s="2050"/>
      <c r="AX25" s="2050"/>
      <c r="AY25" s="2050"/>
      <c r="AZ25" s="2050"/>
      <c r="BA25" s="2050"/>
      <c r="BB25" s="2050"/>
      <c r="BC25" s="2050"/>
      <c r="BD25" s="2050"/>
      <c r="BE25" s="2050"/>
      <c r="BF25" s="2050"/>
      <c r="BG25" s="2050"/>
      <c r="BH25" s="2050"/>
      <c r="BI25" s="2050"/>
      <c r="BJ25" s="2050"/>
      <c r="BK25" s="2050"/>
      <c r="BL25" s="2050"/>
      <c r="BM25" s="2050"/>
      <c r="BN25" s="2050"/>
      <c r="BO25" s="2050"/>
      <c r="BP25" s="2050"/>
      <c r="BQ25" s="2050"/>
      <c r="BR25" s="2050"/>
      <c r="BS25" s="2050"/>
      <c r="BT25" s="2050"/>
      <c r="BU25" s="2050"/>
      <c r="BV25" s="2050"/>
      <c r="BW25" s="2050"/>
      <c r="BX25" s="2050"/>
      <c r="BY25" s="2050"/>
      <c r="BZ25" s="2050"/>
      <c r="CA25" s="2050"/>
      <c r="CB25" s="2050"/>
      <c r="CC25" s="2050"/>
      <c r="CD25" s="2050"/>
      <c r="CE25" s="2050"/>
      <c r="CF25" s="2050"/>
      <c r="CG25" s="2050"/>
      <c r="CH25" s="2050"/>
      <c r="CI25" s="2050"/>
      <c r="CJ25" s="2050"/>
      <c r="CK25" s="2050"/>
      <c r="CL25" s="2050"/>
      <c r="CM25" s="2050"/>
      <c r="CN25" s="2050"/>
      <c r="CO25" s="2050"/>
      <c r="CP25" s="2050"/>
      <c r="CQ25" s="2050"/>
      <c r="CR25" s="2050"/>
      <c r="CS25" s="2050"/>
      <c r="CT25" s="2050"/>
      <c r="CU25" s="2050"/>
      <c r="CV25" s="2050"/>
      <c r="CW25" s="2050"/>
      <c r="CX25" s="2050"/>
      <c r="CY25" s="2050"/>
      <c r="CZ25" s="2050"/>
      <c r="DA25" s="2050"/>
      <c r="DB25" s="2050"/>
      <c r="DC25" s="2050"/>
      <c r="DD25" s="2050"/>
      <c r="DE25" s="2050"/>
      <c r="DM25" s="1073">
        <v>14</v>
      </c>
    </row>
    <row r="26" spans="1:117" ht="14.65" customHeight="1">
      <c r="Q26" s="311"/>
      <c r="R26" s="311"/>
      <c r="S26" s="27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49"/>
      <c r="U26" s="2749"/>
      <c r="V26" s="2749"/>
      <c r="W26" s="2749"/>
      <c r="X26" s="2749"/>
      <c r="Y26" s="2749"/>
      <c r="Z26" s="2749"/>
      <c r="AA26" s="2749"/>
      <c r="AB26" s="2749"/>
      <c r="AC26" s="2749"/>
      <c r="AD26" s="2749"/>
      <c r="AE26" s="2749"/>
      <c r="AF26" s="2749"/>
      <c r="AG26" s="2749"/>
      <c r="AH26" s="2749"/>
      <c r="AI26" s="2749"/>
      <c r="AJ26" s="2749"/>
      <c r="AK26" s="1161"/>
      <c r="AL26" s="2276"/>
      <c r="AM26" s="2276"/>
      <c r="AN26" s="2276"/>
      <c r="AO26" s="2276"/>
      <c r="AP26" s="2276"/>
      <c r="AQ26" s="2276"/>
      <c r="AR26" s="2276"/>
      <c r="AS26" s="2276"/>
      <c r="AT26" s="2276"/>
      <c r="AU26" s="2276"/>
      <c r="AV26" s="2276"/>
      <c r="AW26" s="2276"/>
      <c r="AX26" s="2276"/>
      <c r="AY26" s="2276"/>
      <c r="AZ26" s="2276"/>
      <c r="BA26" s="2276"/>
      <c r="BB26" s="2276"/>
      <c r="BC26" s="2276"/>
      <c r="BD26" s="2276"/>
      <c r="BE26" s="2276"/>
      <c r="BF26" s="2276"/>
      <c r="BG26" s="2276"/>
      <c r="BH26" s="2276"/>
      <c r="BI26" s="2276"/>
      <c r="BJ26" s="2276"/>
      <c r="BK26" s="2276"/>
      <c r="BL26" s="2276"/>
      <c r="BM26" s="2276"/>
      <c r="BN26" s="2276"/>
      <c r="BO26" s="2276"/>
      <c r="BP26" s="2276"/>
      <c r="BQ26" s="2276"/>
      <c r="BR26" s="2276"/>
      <c r="BS26" s="2276"/>
      <c r="BT26" s="2276"/>
      <c r="BU26" s="2276"/>
      <c r="BV26" s="2276"/>
      <c r="BW26" s="2276"/>
      <c r="BX26" s="2276"/>
      <c r="BY26" s="2276"/>
      <c r="BZ26" s="2276"/>
      <c r="CA26" s="2276"/>
      <c r="CB26" s="2276"/>
      <c r="CC26" s="2276"/>
      <c r="CD26" s="2276"/>
      <c r="CE26" s="2276"/>
      <c r="CF26" s="2276"/>
      <c r="CG26" s="2276"/>
      <c r="CH26" s="2276"/>
      <c r="CI26" s="2276"/>
      <c r="CJ26" s="2276"/>
      <c r="CK26" s="2276"/>
      <c r="CL26" s="2276"/>
      <c r="CM26" s="2276"/>
      <c r="CN26" s="2276"/>
      <c r="CO26" s="2276"/>
      <c r="CP26" s="2276"/>
      <c r="CQ26" s="2276"/>
      <c r="CR26" s="2276"/>
      <c r="CS26" s="2276"/>
      <c r="CT26" s="2276"/>
      <c r="CU26" s="2276"/>
      <c r="CV26" s="2276"/>
      <c r="CW26" s="2276"/>
      <c r="CX26" s="2276"/>
      <c r="CY26" s="2276"/>
      <c r="CZ26" s="2276"/>
      <c r="DA26" s="2276"/>
      <c r="DB26" s="2276"/>
      <c r="DC26" s="2276"/>
      <c r="DD26" s="2276"/>
      <c r="DE26" s="2276"/>
      <c r="DM26" s="1073">
        <v>14</v>
      </c>
    </row>
    <row r="27" spans="1:117" ht="14.65" customHeight="1">
      <c r="Q27" s="311"/>
      <c r="R27" s="311"/>
      <c r="S27" s="2696" t="str">
        <f>IF(org=0,"Не определено",org)</f>
        <v>ООО "Ноябрьская ПГЭ"</v>
      </c>
      <c r="T27" s="2696"/>
      <c r="U27" s="2696"/>
      <c r="V27" s="2696"/>
      <c r="W27" s="2696"/>
      <c r="X27" s="2696"/>
      <c r="Y27" s="2696"/>
      <c r="Z27" s="2696"/>
      <c r="AA27" s="2696"/>
      <c r="AB27" s="2696"/>
      <c r="AC27" s="2696"/>
      <c r="AD27" s="2696"/>
      <c r="AE27" s="2696"/>
      <c r="AF27" s="2696"/>
      <c r="AG27" s="2696"/>
      <c r="AH27" s="2696"/>
      <c r="AI27" s="2696"/>
      <c r="AJ27" s="2696"/>
      <c r="AK27" s="1161"/>
      <c r="AL27" s="2277"/>
      <c r="AM27" s="2277"/>
      <c r="AN27" s="2277"/>
      <c r="AO27" s="2277"/>
      <c r="AP27" s="2277"/>
      <c r="AQ27" s="2277"/>
      <c r="AR27" s="2277"/>
      <c r="AS27" s="2277"/>
      <c r="AT27" s="2277"/>
      <c r="AU27" s="2277"/>
      <c r="AV27" s="2277"/>
      <c r="AW27" s="2277"/>
      <c r="AX27" s="2277"/>
      <c r="AY27" s="2277"/>
      <c r="AZ27" s="2277"/>
      <c r="BA27" s="2277"/>
      <c r="BB27" s="2277"/>
      <c r="BC27" s="2277"/>
      <c r="BD27" s="2277"/>
      <c r="BE27" s="2277"/>
      <c r="BF27" s="2277"/>
      <c r="BG27" s="2277"/>
      <c r="BH27" s="2277"/>
      <c r="BI27" s="2277"/>
      <c r="BJ27" s="2277"/>
      <c r="BK27" s="2277"/>
      <c r="BL27" s="2277"/>
      <c r="BM27" s="2277"/>
      <c r="BN27" s="2277"/>
      <c r="BO27" s="2277"/>
      <c r="BP27" s="2277"/>
      <c r="BQ27" s="2277"/>
      <c r="BR27" s="2277"/>
      <c r="BS27" s="2277"/>
      <c r="BT27" s="2277"/>
      <c r="BU27" s="2277"/>
      <c r="BV27" s="2277"/>
      <c r="BW27" s="2277"/>
      <c r="BX27" s="2277"/>
      <c r="BY27" s="2277"/>
      <c r="BZ27" s="2277"/>
      <c r="CA27" s="2277"/>
      <c r="CB27" s="2277"/>
      <c r="CC27" s="2277"/>
      <c r="CD27" s="2277"/>
      <c r="CE27" s="2277"/>
      <c r="CF27" s="2277"/>
      <c r="CG27" s="2277"/>
      <c r="CH27" s="2277"/>
      <c r="CI27" s="2277"/>
      <c r="CJ27" s="2277"/>
      <c r="CK27" s="2277"/>
      <c r="CL27" s="2277"/>
      <c r="CM27" s="2277"/>
      <c r="CN27" s="2277"/>
      <c r="CO27" s="2277"/>
      <c r="CP27" s="2277"/>
      <c r="CQ27" s="2277"/>
      <c r="CR27" s="2277"/>
      <c r="CS27" s="2277"/>
      <c r="CT27" s="2277"/>
      <c r="CU27" s="2277"/>
      <c r="CV27" s="2277"/>
      <c r="CW27" s="2277"/>
      <c r="CX27" s="2277"/>
      <c r="CY27" s="2277"/>
      <c r="CZ27" s="2277"/>
      <c r="DA27" s="2277"/>
      <c r="DB27" s="2277"/>
      <c r="DC27" s="2277"/>
      <c r="DD27" s="2277"/>
      <c r="DE27" s="2277"/>
      <c r="DM27" s="1073">
        <v>14</v>
      </c>
    </row>
    <row r="28" spans="1:117"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2278"/>
      <c r="AM28" s="2278"/>
      <c r="AN28" s="2278"/>
      <c r="AO28" s="2278"/>
      <c r="AP28" s="2278"/>
      <c r="AQ28" s="2278"/>
      <c r="AR28" s="2278"/>
      <c r="AS28" s="2278"/>
      <c r="AT28" s="2278"/>
      <c r="AU28" s="2278"/>
      <c r="AV28" s="2278"/>
      <c r="AW28" s="2278"/>
      <c r="AX28" s="2278"/>
      <c r="AY28" s="2278"/>
      <c r="AZ28" s="2278"/>
      <c r="BA28" s="2278"/>
      <c r="BB28" s="2278"/>
      <c r="BC28" s="2278"/>
      <c r="BD28" s="2278"/>
      <c r="BE28" s="2278"/>
      <c r="BF28" s="2278"/>
      <c r="BG28" s="2278"/>
      <c r="BH28" s="2278"/>
      <c r="BI28" s="2278"/>
      <c r="BJ28" s="2278"/>
      <c r="BK28" s="2278"/>
      <c r="BL28" s="2278"/>
      <c r="BM28" s="2278"/>
      <c r="BN28" s="2278"/>
      <c r="BO28" s="2278"/>
      <c r="BP28" s="2278"/>
      <c r="BQ28" s="2278"/>
      <c r="BR28" s="2278"/>
      <c r="BS28" s="2278"/>
      <c r="BT28" s="2278"/>
      <c r="BU28" s="2278"/>
      <c r="BV28" s="2278"/>
      <c r="BW28" s="2278"/>
      <c r="BX28" s="2278"/>
      <c r="BY28" s="2278"/>
      <c r="BZ28" s="2278"/>
      <c r="CA28" s="2278"/>
      <c r="CB28" s="2278"/>
      <c r="CC28" s="2278"/>
      <c r="CD28" s="2278"/>
      <c r="CE28" s="2278"/>
      <c r="CF28" s="2278"/>
      <c r="CG28" s="2278"/>
      <c r="CH28" s="2278"/>
      <c r="CI28" s="2278"/>
      <c r="CJ28" s="2278"/>
      <c r="CK28" s="2278"/>
      <c r="CL28" s="2278"/>
      <c r="CM28" s="2278"/>
      <c r="CN28" s="2278"/>
      <c r="CO28" s="2278"/>
      <c r="CP28" s="2278"/>
      <c r="CQ28" s="2278"/>
      <c r="CR28" s="2278"/>
      <c r="CS28" s="2278"/>
      <c r="CT28" s="2278"/>
      <c r="CU28" s="2278"/>
      <c r="CV28" s="2278"/>
      <c r="CW28" s="2278"/>
      <c r="CX28" s="2278"/>
      <c r="CY28" s="2278"/>
      <c r="CZ28" s="2278"/>
      <c r="DA28" s="2278"/>
      <c r="DB28" s="2278"/>
      <c r="DC28" s="2278"/>
      <c r="DD28" s="2278"/>
      <c r="DE28" s="2278"/>
      <c r="DF28" s="444"/>
      <c r="DM28" s="1073">
        <v>0</v>
      </c>
    </row>
    <row r="29" spans="1:117" s="2529" customFormat="1" ht="25.5" hidden="1" customHeight="1">
      <c r="A29" s="1286"/>
      <c r="B29" s="1286"/>
      <c r="C29" s="1286"/>
      <c r="D29" s="1286"/>
      <c r="E29" s="1286"/>
      <c r="F29" s="1286"/>
      <c r="G29" s="1286"/>
      <c r="H29" s="1286"/>
      <c r="I29" s="1286"/>
      <c r="J29" s="1286"/>
      <c r="K29" s="1286"/>
      <c r="L29" s="1287"/>
      <c r="M29" s="1286"/>
      <c r="N29" s="1286"/>
      <c r="O29" s="1286"/>
      <c r="S29" s="2772" t="s">
        <v>42</v>
      </c>
      <c r="T29" s="2772"/>
      <c r="U29" s="1290"/>
      <c r="V29" s="2754" t="str">
        <f>IF(TITLE_NAME_OR_PR_CHANGE="",IF(TITLE_NAME_OR_PR="","",TITLE_NAME_OR_PR),TITLE_NAME_OR_PR_CHANGE)</f>
        <v/>
      </c>
      <c r="W29" s="2754"/>
      <c r="X29" s="2754"/>
      <c r="Y29" s="2754"/>
      <c r="Z29" s="2754"/>
      <c r="AA29" s="2754"/>
      <c r="AB29" s="2754"/>
      <c r="AC29" s="262"/>
      <c r="AD29" s="2754" t="str">
        <f>IF(TITLE_NAME_OR_PR_CHANGE="",IF(TITLE_NAME_OR_PR="","",TITLE_NAME_OR_PR),TITLE_NAME_OR_PR_CHANGE)</f>
        <v/>
      </c>
      <c r="AE29" s="2754"/>
      <c r="AF29" s="2754"/>
      <c r="AG29" s="2754"/>
      <c r="AH29" s="2754"/>
      <c r="AI29" s="2754"/>
      <c r="AJ29" s="2754"/>
      <c r="AK29" s="262"/>
      <c r="AL29" s="2754" t="str">
        <f>IF(TITLE_NAME_OR_PR_CHANGE="",IF(TITLE_NAME_OR_PR="","",TITLE_NAME_OR_PR),TITLE_NAME_OR_PR_CHANGE)</f>
        <v/>
      </c>
      <c r="AM29" s="2754"/>
      <c r="AN29" s="2754"/>
      <c r="AO29" s="2754"/>
      <c r="AP29" s="2754"/>
      <c r="AQ29" s="2754"/>
      <c r="AR29" s="2754"/>
      <c r="AS29" s="2050"/>
      <c r="AT29" s="2754" t="str">
        <f>IF(TITLE_NAME_OR_PR_CHANGE="",IF(TITLE_NAME_OR_PR="","",TITLE_NAME_OR_PR),TITLE_NAME_OR_PR_CHANGE)</f>
        <v/>
      </c>
      <c r="AU29" s="2754"/>
      <c r="AV29" s="2754"/>
      <c r="AW29" s="2754"/>
      <c r="AX29" s="2754"/>
      <c r="AY29" s="2754"/>
      <c r="AZ29" s="2754"/>
      <c r="BA29" s="2050"/>
      <c r="BB29" s="2754" t="str">
        <f>IF(TITLE_NAME_OR_PR_CHANGE="",IF(TITLE_NAME_OR_PR="","",TITLE_NAME_OR_PR),TITLE_NAME_OR_PR_CHANGE)</f>
        <v/>
      </c>
      <c r="BC29" s="2754"/>
      <c r="BD29" s="2754"/>
      <c r="BE29" s="2754"/>
      <c r="BF29" s="2754"/>
      <c r="BG29" s="2754"/>
      <c r="BH29" s="2754"/>
      <c r="BI29" s="2050"/>
      <c r="BJ29" s="2754" t="str">
        <f>IF(TITLE_NAME_OR_PR_CHANGE="",IF(TITLE_NAME_OR_PR="","",TITLE_NAME_OR_PR),TITLE_NAME_OR_PR_CHANGE)</f>
        <v/>
      </c>
      <c r="BK29" s="2754"/>
      <c r="BL29" s="2754"/>
      <c r="BM29" s="2754"/>
      <c r="BN29" s="2754"/>
      <c r="BO29" s="2754"/>
      <c r="BP29" s="2754"/>
      <c r="BQ29" s="2050"/>
      <c r="BR29" s="2754" t="str">
        <f>IF(TITLE_NAME_OR_PR_CHANGE="",IF(TITLE_NAME_OR_PR="","",TITLE_NAME_OR_PR),TITLE_NAME_OR_PR_CHANGE)</f>
        <v/>
      </c>
      <c r="BS29" s="2754"/>
      <c r="BT29" s="2754"/>
      <c r="BU29" s="2754"/>
      <c r="BV29" s="2754"/>
      <c r="BW29" s="2754"/>
      <c r="BX29" s="2754"/>
      <c r="BY29" s="2050"/>
      <c r="BZ29" s="2754" t="str">
        <f>IF(TITLE_NAME_OR_PR_CHANGE="",IF(TITLE_NAME_OR_PR="","",TITLE_NAME_OR_PR),TITLE_NAME_OR_PR_CHANGE)</f>
        <v/>
      </c>
      <c r="CA29" s="2754"/>
      <c r="CB29" s="2754"/>
      <c r="CC29" s="2754"/>
      <c r="CD29" s="2754"/>
      <c r="CE29" s="2754"/>
      <c r="CF29" s="2754"/>
      <c r="CG29" s="2050"/>
      <c r="CH29" s="2754" t="str">
        <f>IF(TITLE_NAME_OR_PR_CHANGE="",IF(TITLE_NAME_OR_PR="","",TITLE_NAME_OR_PR),TITLE_NAME_OR_PR_CHANGE)</f>
        <v/>
      </c>
      <c r="CI29" s="2754"/>
      <c r="CJ29" s="2754"/>
      <c r="CK29" s="2754"/>
      <c r="CL29" s="2754"/>
      <c r="CM29" s="2754"/>
      <c r="CN29" s="2754"/>
      <c r="CO29" s="2050"/>
      <c r="CP29" s="2754" t="str">
        <f>IF(TITLE_NAME_OR_PR_CHANGE="",IF(TITLE_NAME_OR_PR="","",TITLE_NAME_OR_PR),TITLE_NAME_OR_PR_CHANGE)</f>
        <v/>
      </c>
      <c r="CQ29" s="2754"/>
      <c r="CR29" s="2754"/>
      <c r="CS29" s="2754"/>
      <c r="CT29" s="2754"/>
      <c r="CU29" s="2754"/>
      <c r="CV29" s="2754"/>
      <c r="CW29" s="2050"/>
      <c r="CX29" s="2754" t="str">
        <f>IF(TITLE_NAME_OR_PR_CHANGE="",IF(TITLE_NAME_OR_PR="","",TITLE_NAME_OR_PR),TITLE_NAME_OR_PR_CHANGE)</f>
        <v/>
      </c>
      <c r="CY29" s="2754"/>
      <c r="CZ29" s="2754"/>
      <c r="DA29" s="2754"/>
      <c r="DB29" s="2754"/>
      <c r="DC29" s="2754"/>
      <c r="DD29" s="2754"/>
      <c r="DE29" s="2050"/>
      <c r="DF29" s="262"/>
      <c r="DG29" s="216"/>
      <c r="DH29" s="303"/>
      <c r="DI29" s="303"/>
      <c r="DJ29" s="303"/>
      <c r="DK29" s="303"/>
      <c r="DL29" s="303"/>
      <c r="DM29" s="353">
        <v>0</v>
      </c>
    </row>
    <row r="30" spans="1:117" s="2529" customFormat="1" ht="18.75" hidden="1" customHeight="1">
      <c r="A30" s="1286"/>
      <c r="B30" s="1286"/>
      <c r="C30" s="1286"/>
      <c r="D30" s="1286"/>
      <c r="E30" s="1286"/>
      <c r="F30" s="1286"/>
      <c r="G30" s="1286"/>
      <c r="H30" s="1286"/>
      <c r="I30" s="1286"/>
      <c r="J30" s="1286"/>
      <c r="K30" s="1286"/>
      <c r="L30" s="1287"/>
      <c r="M30" s="1286"/>
      <c r="N30" s="1286"/>
      <c r="O30" s="1286"/>
      <c r="S30" s="2772" t="s">
        <v>422</v>
      </c>
      <c r="T30" s="2772"/>
      <c r="U30" s="1290"/>
      <c r="V30" s="2755">
        <f>IF(TITLE_DATE_PR_CHANGE="",IF(TITLE_DATE_PR="","",TITLE_DATE_PR),TITLE_DATE_PR_CHANGE)</f>
        <v>45583</v>
      </c>
      <c r="W30" s="2755"/>
      <c r="X30" s="2755"/>
      <c r="Y30" s="2755"/>
      <c r="Z30" s="2755"/>
      <c r="AA30" s="2755"/>
      <c r="AB30" s="2755"/>
      <c r="AC30" s="262"/>
      <c r="AD30" s="2755">
        <f>IF(TITLE_DATE_PR_CHANGE="",IF(TITLE_DATE_PR="","",TITLE_DATE_PR),TITLE_DATE_PR_CHANGE)</f>
        <v>45583</v>
      </c>
      <c r="AE30" s="2755"/>
      <c r="AF30" s="2755"/>
      <c r="AG30" s="2755"/>
      <c r="AH30" s="2755"/>
      <c r="AI30" s="2755"/>
      <c r="AJ30" s="2755"/>
      <c r="AK30" s="262"/>
      <c r="AL30" s="2755">
        <f>IF(TITLE_DATE_PR_CHANGE="",IF(TITLE_DATE_PR="","",TITLE_DATE_PR),TITLE_DATE_PR_CHANGE)</f>
        <v>45583</v>
      </c>
      <c r="AM30" s="2755"/>
      <c r="AN30" s="2755"/>
      <c r="AO30" s="2755"/>
      <c r="AP30" s="2755"/>
      <c r="AQ30" s="2755"/>
      <c r="AR30" s="2755"/>
      <c r="AS30" s="2050"/>
      <c r="AT30" s="2755">
        <f>IF(TITLE_DATE_PR_CHANGE="",IF(TITLE_DATE_PR="","",TITLE_DATE_PR),TITLE_DATE_PR_CHANGE)</f>
        <v>45583</v>
      </c>
      <c r="AU30" s="2755"/>
      <c r="AV30" s="2755"/>
      <c r="AW30" s="2755"/>
      <c r="AX30" s="2755"/>
      <c r="AY30" s="2755"/>
      <c r="AZ30" s="2755"/>
      <c r="BA30" s="2050"/>
      <c r="BB30" s="2755">
        <f>IF(TITLE_DATE_PR_CHANGE="",IF(TITLE_DATE_PR="","",TITLE_DATE_PR),TITLE_DATE_PR_CHANGE)</f>
        <v>45583</v>
      </c>
      <c r="BC30" s="2755"/>
      <c r="BD30" s="2755"/>
      <c r="BE30" s="2755"/>
      <c r="BF30" s="2755"/>
      <c r="BG30" s="2755"/>
      <c r="BH30" s="2755"/>
      <c r="BI30" s="2050"/>
      <c r="BJ30" s="2755">
        <f>IF(TITLE_DATE_PR_CHANGE="",IF(TITLE_DATE_PR="","",TITLE_DATE_PR),TITLE_DATE_PR_CHANGE)</f>
        <v>45583</v>
      </c>
      <c r="BK30" s="2755"/>
      <c r="BL30" s="2755"/>
      <c r="BM30" s="2755"/>
      <c r="BN30" s="2755"/>
      <c r="BO30" s="2755"/>
      <c r="BP30" s="2755"/>
      <c r="BQ30" s="2050"/>
      <c r="BR30" s="2755">
        <f>IF(TITLE_DATE_PR_CHANGE="",IF(TITLE_DATE_PR="","",TITLE_DATE_PR),TITLE_DATE_PR_CHANGE)</f>
        <v>45583</v>
      </c>
      <c r="BS30" s="2755"/>
      <c r="BT30" s="2755"/>
      <c r="BU30" s="2755"/>
      <c r="BV30" s="2755"/>
      <c r="BW30" s="2755"/>
      <c r="BX30" s="2755"/>
      <c r="BY30" s="2050"/>
      <c r="BZ30" s="2755">
        <f>IF(TITLE_DATE_PR_CHANGE="",IF(TITLE_DATE_PR="","",TITLE_DATE_PR),TITLE_DATE_PR_CHANGE)</f>
        <v>45583</v>
      </c>
      <c r="CA30" s="2755"/>
      <c r="CB30" s="2755"/>
      <c r="CC30" s="2755"/>
      <c r="CD30" s="2755"/>
      <c r="CE30" s="2755"/>
      <c r="CF30" s="2755"/>
      <c r="CG30" s="2050"/>
      <c r="CH30" s="2755">
        <f>IF(TITLE_DATE_PR_CHANGE="",IF(TITLE_DATE_PR="","",TITLE_DATE_PR),TITLE_DATE_PR_CHANGE)</f>
        <v>45583</v>
      </c>
      <c r="CI30" s="2755"/>
      <c r="CJ30" s="2755"/>
      <c r="CK30" s="2755"/>
      <c r="CL30" s="2755"/>
      <c r="CM30" s="2755"/>
      <c r="CN30" s="2755"/>
      <c r="CO30" s="2050"/>
      <c r="CP30" s="2755">
        <f>IF(TITLE_DATE_PR_CHANGE="",IF(TITLE_DATE_PR="","",TITLE_DATE_PR),TITLE_DATE_PR_CHANGE)</f>
        <v>45583</v>
      </c>
      <c r="CQ30" s="2755"/>
      <c r="CR30" s="2755"/>
      <c r="CS30" s="2755"/>
      <c r="CT30" s="2755"/>
      <c r="CU30" s="2755"/>
      <c r="CV30" s="2755"/>
      <c r="CW30" s="2050"/>
      <c r="CX30" s="2755">
        <f>IF(TITLE_DATE_PR_CHANGE="",IF(TITLE_DATE_PR="","",TITLE_DATE_PR),TITLE_DATE_PR_CHANGE)</f>
        <v>45583</v>
      </c>
      <c r="CY30" s="2755"/>
      <c r="CZ30" s="2755"/>
      <c r="DA30" s="2755"/>
      <c r="DB30" s="2755"/>
      <c r="DC30" s="2755"/>
      <c r="DD30" s="2755"/>
      <c r="DE30" s="2050"/>
      <c r="DF30" s="262"/>
      <c r="DG30" s="216"/>
      <c r="DH30" s="303"/>
      <c r="DI30" s="303"/>
      <c r="DJ30" s="303"/>
      <c r="DK30" s="303"/>
      <c r="DL30" s="303"/>
      <c r="DM30" s="353">
        <v>0</v>
      </c>
    </row>
    <row r="31" spans="1:117" s="2529" customFormat="1" ht="18.75" hidden="1" customHeight="1">
      <c r="A31" s="1286"/>
      <c r="B31" s="1286"/>
      <c r="C31" s="1286"/>
      <c r="D31" s="1286"/>
      <c r="E31" s="1286"/>
      <c r="F31" s="1286"/>
      <c r="G31" s="1286"/>
      <c r="H31" s="1286"/>
      <c r="I31" s="1286"/>
      <c r="J31" s="1286"/>
      <c r="K31" s="1286"/>
      <c r="L31" s="1287"/>
      <c r="M31" s="1286"/>
      <c r="N31" s="1286"/>
      <c r="O31" s="1286"/>
      <c r="S31" s="2772" t="s">
        <v>423</v>
      </c>
      <c r="T31" s="2772"/>
      <c r="U31" s="1290"/>
      <c r="V31" s="2754" t="str">
        <f>IF(TITLE_NUMBER_PR_CHANGE="",IF(TITLE_NUMBER_PR="","",TITLE_NUMBER_PR),TITLE_NUMBER_PR_CHANGE)</f>
        <v>18-3341</v>
      </c>
      <c r="W31" s="2754"/>
      <c r="X31" s="2754"/>
      <c r="Y31" s="2754"/>
      <c r="Z31" s="2754"/>
      <c r="AA31" s="2754"/>
      <c r="AB31" s="2754"/>
      <c r="AC31" s="262"/>
      <c r="AD31" s="2754" t="str">
        <f>IF(TITLE_NUMBER_PR_CHANGE="",IF(TITLE_NUMBER_PR="","",TITLE_NUMBER_PR),TITLE_NUMBER_PR_CHANGE)</f>
        <v>18-3341</v>
      </c>
      <c r="AE31" s="2754"/>
      <c r="AF31" s="2754"/>
      <c r="AG31" s="2754"/>
      <c r="AH31" s="2754"/>
      <c r="AI31" s="2754"/>
      <c r="AJ31" s="2754"/>
      <c r="AK31" s="262"/>
      <c r="AL31" s="2754" t="str">
        <f>IF(TITLE_NUMBER_PR_CHANGE="",IF(TITLE_NUMBER_PR="","",TITLE_NUMBER_PR),TITLE_NUMBER_PR_CHANGE)</f>
        <v>18-3341</v>
      </c>
      <c r="AM31" s="2754"/>
      <c r="AN31" s="2754"/>
      <c r="AO31" s="2754"/>
      <c r="AP31" s="2754"/>
      <c r="AQ31" s="2754"/>
      <c r="AR31" s="2754"/>
      <c r="AS31" s="2050"/>
      <c r="AT31" s="2754" t="str">
        <f>IF(TITLE_NUMBER_PR_CHANGE="",IF(TITLE_NUMBER_PR="","",TITLE_NUMBER_PR),TITLE_NUMBER_PR_CHANGE)</f>
        <v>18-3341</v>
      </c>
      <c r="AU31" s="2754"/>
      <c r="AV31" s="2754"/>
      <c r="AW31" s="2754"/>
      <c r="AX31" s="2754"/>
      <c r="AY31" s="2754"/>
      <c r="AZ31" s="2754"/>
      <c r="BA31" s="2050"/>
      <c r="BB31" s="2754" t="str">
        <f>IF(TITLE_NUMBER_PR_CHANGE="",IF(TITLE_NUMBER_PR="","",TITLE_NUMBER_PR),TITLE_NUMBER_PR_CHANGE)</f>
        <v>18-3341</v>
      </c>
      <c r="BC31" s="2754"/>
      <c r="BD31" s="2754"/>
      <c r="BE31" s="2754"/>
      <c r="BF31" s="2754"/>
      <c r="BG31" s="2754"/>
      <c r="BH31" s="2754"/>
      <c r="BI31" s="2050"/>
      <c r="BJ31" s="2754" t="str">
        <f>IF(TITLE_NUMBER_PR_CHANGE="",IF(TITLE_NUMBER_PR="","",TITLE_NUMBER_PR),TITLE_NUMBER_PR_CHANGE)</f>
        <v>18-3341</v>
      </c>
      <c r="BK31" s="2754"/>
      <c r="BL31" s="2754"/>
      <c r="BM31" s="2754"/>
      <c r="BN31" s="2754"/>
      <c r="BO31" s="2754"/>
      <c r="BP31" s="2754"/>
      <c r="BQ31" s="2050"/>
      <c r="BR31" s="2754" t="str">
        <f>IF(TITLE_NUMBER_PR_CHANGE="",IF(TITLE_NUMBER_PR="","",TITLE_NUMBER_PR),TITLE_NUMBER_PR_CHANGE)</f>
        <v>18-3341</v>
      </c>
      <c r="BS31" s="2754"/>
      <c r="BT31" s="2754"/>
      <c r="BU31" s="2754"/>
      <c r="BV31" s="2754"/>
      <c r="BW31" s="2754"/>
      <c r="BX31" s="2754"/>
      <c r="BY31" s="2050"/>
      <c r="BZ31" s="2754" t="str">
        <f>IF(TITLE_NUMBER_PR_CHANGE="",IF(TITLE_NUMBER_PR="","",TITLE_NUMBER_PR),TITLE_NUMBER_PR_CHANGE)</f>
        <v>18-3341</v>
      </c>
      <c r="CA31" s="2754"/>
      <c r="CB31" s="2754"/>
      <c r="CC31" s="2754"/>
      <c r="CD31" s="2754"/>
      <c r="CE31" s="2754"/>
      <c r="CF31" s="2754"/>
      <c r="CG31" s="2050"/>
      <c r="CH31" s="2754" t="str">
        <f>IF(TITLE_NUMBER_PR_CHANGE="",IF(TITLE_NUMBER_PR="","",TITLE_NUMBER_PR),TITLE_NUMBER_PR_CHANGE)</f>
        <v>18-3341</v>
      </c>
      <c r="CI31" s="2754"/>
      <c r="CJ31" s="2754"/>
      <c r="CK31" s="2754"/>
      <c r="CL31" s="2754"/>
      <c r="CM31" s="2754"/>
      <c r="CN31" s="2754"/>
      <c r="CO31" s="2050"/>
      <c r="CP31" s="2754" t="str">
        <f>IF(TITLE_NUMBER_PR_CHANGE="",IF(TITLE_NUMBER_PR="","",TITLE_NUMBER_PR),TITLE_NUMBER_PR_CHANGE)</f>
        <v>18-3341</v>
      </c>
      <c r="CQ31" s="2754"/>
      <c r="CR31" s="2754"/>
      <c r="CS31" s="2754"/>
      <c r="CT31" s="2754"/>
      <c r="CU31" s="2754"/>
      <c r="CV31" s="2754"/>
      <c r="CW31" s="2050"/>
      <c r="CX31" s="2754" t="str">
        <f>IF(TITLE_NUMBER_PR_CHANGE="",IF(TITLE_NUMBER_PR="","",TITLE_NUMBER_PR),TITLE_NUMBER_PR_CHANGE)</f>
        <v>18-3341</v>
      </c>
      <c r="CY31" s="2754"/>
      <c r="CZ31" s="2754"/>
      <c r="DA31" s="2754"/>
      <c r="DB31" s="2754"/>
      <c r="DC31" s="2754"/>
      <c r="DD31" s="2754"/>
      <c r="DE31" s="2050"/>
      <c r="DF31" s="262"/>
      <c r="DG31" s="216"/>
      <c r="DH31" s="303"/>
      <c r="DI31" s="303"/>
      <c r="DJ31" s="303"/>
      <c r="DK31" s="303"/>
      <c r="DL31" s="303"/>
      <c r="DM31" s="353">
        <v>0</v>
      </c>
    </row>
    <row r="32" spans="1:117" s="2529" customFormat="1" ht="18.75" hidden="1" customHeight="1">
      <c r="A32" s="1286"/>
      <c r="B32" s="1286"/>
      <c r="C32" s="1286"/>
      <c r="D32" s="1286"/>
      <c r="E32" s="1286"/>
      <c r="F32" s="1286"/>
      <c r="G32" s="1286"/>
      <c r="H32" s="1286"/>
      <c r="I32" s="1286"/>
      <c r="J32" s="1286"/>
      <c r="K32" s="1286"/>
      <c r="L32" s="1287"/>
      <c r="M32" s="1286"/>
      <c r="N32" s="1286"/>
      <c r="O32" s="1286"/>
      <c r="S32" s="2772" t="s">
        <v>43</v>
      </c>
      <c r="T32" s="2772"/>
      <c r="U32" s="1290"/>
      <c r="V32" s="2754" t="str">
        <f>IF(TITLE_IST_PUB_CHANGE="",IF(TITLE_IST_PUB="","",TITLE_IST_PUB),TITLE_IST_PUB_CHANGE)</f>
        <v/>
      </c>
      <c r="W32" s="2754"/>
      <c r="X32" s="2754"/>
      <c r="Y32" s="2754"/>
      <c r="Z32" s="2754"/>
      <c r="AA32" s="2754"/>
      <c r="AB32" s="2754"/>
      <c r="AC32" s="262"/>
      <c r="AD32" s="2754" t="str">
        <f>IF(TITLE_IST_PUB_CHANGE="",IF(TITLE_IST_PUB="","",TITLE_IST_PUB),TITLE_IST_PUB_CHANGE)</f>
        <v/>
      </c>
      <c r="AE32" s="2754"/>
      <c r="AF32" s="2754"/>
      <c r="AG32" s="2754"/>
      <c r="AH32" s="2754"/>
      <c r="AI32" s="2754"/>
      <c r="AJ32" s="2754"/>
      <c r="AK32" s="262"/>
      <c r="AL32" s="2754" t="str">
        <f>IF(TITLE_IST_PUB_CHANGE="",IF(TITLE_IST_PUB="","",TITLE_IST_PUB),TITLE_IST_PUB_CHANGE)</f>
        <v/>
      </c>
      <c r="AM32" s="2754"/>
      <c r="AN32" s="2754"/>
      <c r="AO32" s="2754"/>
      <c r="AP32" s="2754"/>
      <c r="AQ32" s="2754"/>
      <c r="AR32" s="2754"/>
      <c r="AS32" s="2050"/>
      <c r="AT32" s="2754" t="str">
        <f>IF(TITLE_IST_PUB_CHANGE="",IF(TITLE_IST_PUB="","",TITLE_IST_PUB),TITLE_IST_PUB_CHANGE)</f>
        <v/>
      </c>
      <c r="AU32" s="2754"/>
      <c r="AV32" s="2754"/>
      <c r="AW32" s="2754"/>
      <c r="AX32" s="2754"/>
      <c r="AY32" s="2754"/>
      <c r="AZ32" s="2754"/>
      <c r="BA32" s="2050"/>
      <c r="BB32" s="2754" t="str">
        <f>IF(TITLE_IST_PUB_CHANGE="",IF(TITLE_IST_PUB="","",TITLE_IST_PUB),TITLE_IST_PUB_CHANGE)</f>
        <v/>
      </c>
      <c r="BC32" s="2754"/>
      <c r="BD32" s="2754"/>
      <c r="BE32" s="2754"/>
      <c r="BF32" s="2754"/>
      <c r="BG32" s="2754"/>
      <c r="BH32" s="2754"/>
      <c r="BI32" s="2050"/>
      <c r="BJ32" s="2754" t="str">
        <f>IF(TITLE_IST_PUB_CHANGE="",IF(TITLE_IST_PUB="","",TITLE_IST_PUB),TITLE_IST_PUB_CHANGE)</f>
        <v/>
      </c>
      <c r="BK32" s="2754"/>
      <c r="BL32" s="2754"/>
      <c r="BM32" s="2754"/>
      <c r="BN32" s="2754"/>
      <c r="BO32" s="2754"/>
      <c r="BP32" s="2754"/>
      <c r="BQ32" s="2050"/>
      <c r="BR32" s="2754" t="str">
        <f>IF(TITLE_IST_PUB_CHANGE="",IF(TITLE_IST_PUB="","",TITLE_IST_PUB),TITLE_IST_PUB_CHANGE)</f>
        <v/>
      </c>
      <c r="BS32" s="2754"/>
      <c r="BT32" s="2754"/>
      <c r="BU32" s="2754"/>
      <c r="BV32" s="2754"/>
      <c r="BW32" s="2754"/>
      <c r="BX32" s="2754"/>
      <c r="BY32" s="2050"/>
      <c r="BZ32" s="2754" t="str">
        <f>IF(TITLE_IST_PUB_CHANGE="",IF(TITLE_IST_PUB="","",TITLE_IST_PUB),TITLE_IST_PUB_CHANGE)</f>
        <v/>
      </c>
      <c r="CA32" s="2754"/>
      <c r="CB32" s="2754"/>
      <c r="CC32" s="2754"/>
      <c r="CD32" s="2754"/>
      <c r="CE32" s="2754"/>
      <c r="CF32" s="2754"/>
      <c r="CG32" s="2050"/>
      <c r="CH32" s="2754" t="str">
        <f>IF(TITLE_IST_PUB_CHANGE="",IF(TITLE_IST_PUB="","",TITLE_IST_PUB),TITLE_IST_PUB_CHANGE)</f>
        <v/>
      </c>
      <c r="CI32" s="2754"/>
      <c r="CJ32" s="2754"/>
      <c r="CK32" s="2754"/>
      <c r="CL32" s="2754"/>
      <c r="CM32" s="2754"/>
      <c r="CN32" s="2754"/>
      <c r="CO32" s="2050"/>
      <c r="CP32" s="2754" t="str">
        <f>IF(TITLE_IST_PUB_CHANGE="",IF(TITLE_IST_PUB="","",TITLE_IST_PUB),TITLE_IST_PUB_CHANGE)</f>
        <v/>
      </c>
      <c r="CQ32" s="2754"/>
      <c r="CR32" s="2754"/>
      <c r="CS32" s="2754"/>
      <c r="CT32" s="2754"/>
      <c r="CU32" s="2754"/>
      <c r="CV32" s="2754"/>
      <c r="CW32" s="2050"/>
      <c r="CX32" s="2754" t="str">
        <f>IF(TITLE_IST_PUB_CHANGE="",IF(TITLE_IST_PUB="","",TITLE_IST_PUB),TITLE_IST_PUB_CHANGE)</f>
        <v/>
      </c>
      <c r="CY32" s="2754"/>
      <c r="CZ32" s="2754"/>
      <c r="DA32" s="2754"/>
      <c r="DB32" s="2754"/>
      <c r="DC32" s="2754"/>
      <c r="DD32" s="2754"/>
      <c r="DE32" s="2050"/>
      <c r="DF32" s="262"/>
      <c r="DG32" s="216"/>
      <c r="DH32" s="303"/>
      <c r="DI32" s="303"/>
      <c r="DJ32" s="303"/>
      <c r="DK32" s="303"/>
      <c r="DL32" s="303"/>
      <c r="DM32" s="353">
        <v>0</v>
      </c>
    </row>
    <row r="33" spans="1:117" ht="14.25"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2278"/>
      <c r="AM33" s="2278"/>
      <c r="AN33" s="2278"/>
      <c r="AO33" s="2278"/>
      <c r="AP33" s="2278"/>
      <c r="AQ33" s="2278"/>
      <c r="AR33" s="2278"/>
      <c r="AS33" s="2278"/>
      <c r="AT33" s="2278"/>
      <c r="AU33" s="2278"/>
      <c r="AV33" s="2278"/>
      <c r="AW33" s="2278"/>
      <c r="AX33" s="2278"/>
      <c r="AY33" s="2278"/>
      <c r="AZ33" s="2278"/>
      <c r="BA33" s="2278"/>
      <c r="BB33" s="2278"/>
      <c r="BC33" s="2278"/>
      <c r="BD33" s="2278"/>
      <c r="BE33" s="2278"/>
      <c r="BF33" s="2278"/>
      <c r="BG33" s="2278"/>
      <c r="BH33" s="2278"/>
      <c r="BI33" s="2278"/>
      <c r="BJ33" s="2278"/>
      <c r="BK33" s="2278"/>
      <c r="BL33" s="2278"/>
      <c r="BM33" s="2278"/>
      <c r="BN33" s="2278"/>
      <c r="BO33" s="2278"/>
      <c r="BP33" s="2278"/>
      <c r="BQ33" s="2278"/>
      <c r="BR33" s="2278"/>
      <c r="BS33" s="2278"/>
      <c r="BT33" s="2278"/>
      <c r="BU33" s="2278"/>
      <c r="BV33" s="2278"/>
      <c r="BW33" s="2278"/>
      <c r="BX33" s="2278"/>
      <c r="BY33" s="2278"/>
      <c r="BZ33" s="2278"/>
      <c r="CA33" s="2278"/>
      <c r="CB33" s="2278"/>
      <c r="CC33" s="2278"/>
      <c r="CD33" s="2278"/>
      <c r="CE33" s="2278"/>
      <c r="CF33" s="2278"/>
      <c r="CG33" s="2278"/>
      <c r="CH33" s="2278"/>
      <c r="CI33" s="2278"/>
      <c r="CJ33" s="2278"/>
      <c r="CK33" s="2278"/>
      <c r="CL33" s="2278"/>
      <c r="CM33" s="2278"/>
      <c r="CN33" s="2278"/>
      <c r="CO33" s="2278"/>
      <c r="CP33" s="2278"/>
      <c r="CQ33" s="2278"/>
      <c r="CR33" s="2278"/>
      <c r="CS33" s="2278"/>
      <c r="CT33" s="2278"/>
      <c r="CU33" s="2278"/>
      <c r="CV33" s="2278"/>
      <c r="CW33" s="2278"/>
      <c r="CX33" s="2278"/>
      <c r="CY33" s="2278"/>
      <c r="CZ33" s="2278"/>
      <c r="DA33" s="2278"/>
      <c r="DB33" s="2278"/>
      <c r="DC33" s="2278"/>
      <c r="DD33" s="2278"/>
      <c r="DE33" s="2278"/>
      <c r="DF33" s="444"/>
      <c r="DM33" s="1073">
        <v>0</v>
      </c>
    </row>
    <row r="34" spans="1:117" s="2529" customFormat="1" ht="18.75" customHeight="1">
      <c r="A34" s="1286"/>
      <c r="B34" s="1286"/>
      <c r="C34" s="1286"/>
      <c r="D34" s="1286"/>
      <c r="E34" s="1286"/>
      <c r="F34" s="1286"/>
      <c r="G34" s="1286"/>
      <c r="H34" s="1286"/>
      <c r="I34" s="1286"/>
      <c r="J34" s="1286"/>
      <c r="K34" s="1286"/>
      <c r="L34" s="1287"/>
      <c r="M34" s="1286"/>
      <c r="N34" s="1286"/>
      <c r="O34" s="1286"/>
      <c r="S34" s="2772" t="s">
        <v>424</v>
      </c>
      <c r="T34" s="2772"/>
      <c r="U34" s="1290"/>
      <c r="V34" s="2755">
        <f>IF(TITLE_DATE_PR_CHANGE="",IF(TITLE_DATE_PR="","",TITLE_DATE_PR),TITLE_DATE_PR_CHANGE)</f>
        <v>45583</v>
      </c>
      <c r="W34" s="2755"/>
      <c r="X34" s="2755"/>
      <c r="Y34" s="2755"/>
      <c r="Z34" s="2755"/>
      <c r="AA34" s="2755"/>
      <c r="AB34" s="2755"/>
      <c r="AC34" s="262"/>
      <c r="AD34" s="2755">
        <f>IF(TITLE_DATE_PR_CHANGE="",IF(TITLE_DATE_PR="","",TITLE_DATE_PR),TITLE_DATE_PR_CHANGE)</f>
        <v>45583</v>
      </c>
      <c r="AE34" s="2755"/>
      <c r="AF34" s="2755"/>
      <c r="AG34" s="2755"/>
      <c r="AH34" s="2755"/>
      <c r="AI34" s="2755"/>
      <c r="AJ34" s="2755"/>
      <c r="AK34" s="262"/>
      <c r="AL34" s="2755">
        <f>IF(TITLE_DATE_PR_CHANGE="",IF(TITLE_DATE_PR="","",TITLE_DATE_PR),TITLE_DATE_PR_CHANGE)</f>
        <v>45583</v>
      </c>
      <c r="AM34" s="2755"/>
      <c r="AN34" s="2755"/>
      <c r="AO34" s="2755"/>
      <c r="AP34" s="2755"/>
      <c r="AQ34" s="2755"/>
      <c r="AR34" s="2755"/>
      <c r="AS34" s="2050"/>
      <c r="AT34" s="2755">
        <f>IF(TITLE_DATE_PR_CHANGE="",IF(TITLE_DATE_PR="","",TITLE_DATE_PR),TITLE_DATE_PR_CHANGE)</f>
        <v>45583</v>
      </c>
      <c r="AU34" s="2755"/>
      <c r="AV34" s="2755"/>
      <c r="AW34" s="2755"/>
      <c r="AX34" s="2755"/>
      <c r="AY34" s="2755"/>
      <c r="AZ34" s="2755"/>
      <c r="BA34" s="2050"/>
      <c r="BB34" s="2755">
        <f>IF(TITLE_DATE_PR_CHANGE="",IF(TITLE_DATE_PR="","",TITLE_DATE_PR),TITLE_DATE_PR_CHANGE)</f>
        <v>45583</v>
      </c>
      <c r="BC34" s="2755"/>
      <c r="BD34" s="2755"/>
      <c r="BE34" s="2755"/>
      <c r="BF34" s="2755"/>
      <c r="BG34" s="2755"/>
      <c r="BH34" s="2755"/>
      <c r="BI34" s="2050"/>
      <c r="BJ34" s="2755">
        <f>IF(TITLE_DATE_PR_CHANGE="",IF(TITLE_DATE_PR="","",TITLE_DATE_PR),TITLE_DATE_PR_CHANGE)</f>
        <v>45583</v>
      </c>
      <c r="BK34" s="2755"/>
      <c r="BL34" s="2755"/>
      <c r="BM34" s="2755"/>
      <c r="BN34" s="2755"/>
      <c r="BO34" s="2755"/>
      <c r="BP34" s="2755"/>
      <c r="BQ34" s="2050"/>
      <c r="BR34" s="2755">
        <f>IF(TITLE_DATE_PR_CHANGE="",IF(TITLE_DATE_PR="","",TITLE_DATE_PR),TITLE_DATE_PR_CHANGE)</f>
        <v>45583</v>
      </c>
      <c r="BS34" s="2755"/>
      <c r="BT34" s="2755"/>
      <c r="BU34" s="2755"/>
      <c r="BV34" s="2755"/>
      <c r="BW34" s="2755"/>
      <c r="BX34" s="2755"/>
      <c r="BY34" s="2050"/>
      <c r="BZ34" s="2755">
        <f>IF(TITLE_DATE_PR_CHANGE="",IF(TITLE_DATE_PR="","",TITLE_DATE_PR),TITLE_DATE_PR_CHANGE)</f>
        <v>45583</v>
      </c>
      <c r="CA34" s="2755"/>
      <c r="CB34" s="2755"/>
      <c r="CC34" s="2755"/>
      <c r="CD34" s="2755"/>
      <c r="CE34" s="2755"/>
      <c r="CF34" s="2755"/>
      <c r="CG34" s="2050"/>
      <c r="CH34" s="2755">
        <f>IF(TITLE_DATE_PR_CHANGE="",IF(TITLE_DATE_PR="","",TITLE_DATE_PR),TITLE_DATE_PR_CHANGE)</f>
        <v>45583</v>
      </c>
      <c r="CI34" s="2755"/>
      <c r="CJ34" s="2755"/>
      <c r="CK34" s="2755"/>
      <c r="CL34" s="2755"/>
      <c r="CM34" s="2755"/>
      <c r="CN34" s="2755"/>
      <c r="CO34" s="2050"/>
      <c r="CP34" s="2755">
        <f>IF(TITLE_DATE_PR_CHANGE="",IF(TITLE_DATE_PR="","",TITLE_DATE_PR),TITLE_DATE_PR_CHANGE)</f>
        <v>45583</v>
      </c>
      <c r="CQ34" s="2755"/>
      <c r="CR34" s="2755"/>
      <c r="CS34" s="2755"/>
      <c r="CT34" s="2755"/>
      <c r="CU34" s="2755"/>
      <c r="CV34" s="2755"/>
      <c r="CW34" s="2050"/>
      <c r="CX34" s="2755">
        <f>IF(TITLE_DATE_PR_CHANGE="",IF(TITLE_DATE_PR="","",TITLE_DATE_PR),TITLE_DATE_PR_CHANGE)</f>
        <v>45583</v>
      </c>
      <c r="CY34" s="2755"/>
      <c r="CZ34" s="2755"/>
      <c r="DA34" s="2755"/>
      <c r="DB34" s="2755"/>
      <c r="DC34" s="2755"/>
      <c r="DD34" s="2755"/>
      <c r="DE34" s="2050"/>
      <c r="DF34" s="262"/>
      <c r="DG34" s="216"/>
      <c r="DH34" s="303"/>
      <c r="DI34" s="303"/>
      <c r="DJ34" s="303"/>
      <c r="DK34" s="303"/>
      <c r="DL34" s="303"/>
      <c r="DM34" s="353">
        <v>0</v>
      </c>
    </row>
    <row r="35" spans="1:117" s="2529" customFormat="1" ht="18.75" customHeight="1">
      <c r="A35" s="1286"/>
      <c r="B35" s="1286"/>
      <c r="C35" s="1286"/>
      <c r="D35" s="1286"/>
      <c r="E35" s="1286"/>
      <c r="F35" s="1286"/>
      <c r="G35" s="1286"/>
      <c r="H35" s="1286"/>
      <c r="I35" s="1286"/>
      <c r="J35" s="1286"/>
      <c r="K35" s="1286"/>
      <c r="L35" s="1287"/>
      <c r="M35" s="1286"/>
      <c r="N35" s="1286"/>
      <c r="O35" s="1286"/>
      <c r="S35" s="2772" t="s">
        <v>425</v>
      </c>
      <c r="T35" s="2772"/>
      <c r="U35" s="1290"/>
      <c r="V35" s="2754" t="str">
        <f>IF(TITLE_NUMBER_PR_CHANGE="",IF(TITLE_NUMBER_PR="","",TITLE_NUMBER_PR),TITLE_NUMBER_PR_CHANGE)</f>
        <v>18-3341</v>
      </c>
      <c r="W35" s="2754"/>
      <c r="X35" s="2754"/>
      <c r="Y35" s="2754"/>
      <c r="Z35" s="2754"/>
      <c r="AA35" s="2754"/>
      <c r="AB35" s="2754"/>
      <c r="AC35" s="262"/>
      <c r="AD35" s="2754" t="str">
        <f>IF(TITLE_NUMBER_PR_CHANGE="",IF(TITLE_NUMBER_PR="","",TITLE_NUMBER_PR),TITLE_NUMBER_PR_CHANGE)</f>
        <v>18-3341</v>
      </c>
      <c r="AE35" s="2754"/>
      <c r="AF35" s="2754"/>
      <c r="AG35" s="2754"/>
      <c r="AH35" s="2754"/>
      <c r="AI35" s="2754"/>
      <c r="AJ35" s="2754"/>
      <c r="AK35" s="262"/>
      <c r="AL35" s="2754" t="str">
        <f>IF(TITLE_NUMBER_PR_CHANGE="",IF(TITLE_NUMBER_PR="","",TITLE_NUMBER_PR),TITLE_NUMBER_PR_CHANGE)</f>
        <v>18-3341</v>
      </c>
      <c r="AM35" s="2754"/>
      <c r="AN35" s="2754"/>
      <c r="AO35" s="2754"/>
      <c r="AP35" s="2754"/>
      <c r="AQ35" s="2754"/>
      <c r="AR35" s="2754"/>
      <c r="AS35" s="2050"/>
      <c r="AT35" s="2754" t="str">
        <f>IF(TITLE_NUMBER_PR_CHANGE="",IF(TITLE_NUMBER_PR="","",TITLE_NUMBER_PR),TITLE_NUMBER_PR_CHANGE)</f>
        <v>18-3341</v>
      </c>
      <c r="AU35" s="2754"/>
      <c r="AV35" s="2754"/>
      <c r="AW35" s="2754"/>
      <c r="AX35" s="2754"/>
      <c r="AY35" s="2754"/>
      <c r="AZ35" s="2754"/>
      <c r="BA35" s="2050"/>
      <c r="BB35" s="2754" t="str">
        <f>IF(TITLE_NUMBER_PR_CHANGE="",IF(TITLE_NUMBER_PR="","",TITLE_NUMBER_PR),TITLE_NUMBER_PR_CHANGE)</f>
        <v>18-3341</v>
      </c>
      <c r="BC35" s="2754"/>
      <c r="BD35" s="2754"/>
      <c r="BE35" s="2754"/>
      <c r="BF35" s="2754"/>
      <c r="BG35" s="2754"/>
      <c r="BH35" s="2754"/>
      <c r="BI35" s="2050"/>
      <c r="BJ35" s="2754" t="str">
        <f>IF(TITLE_NUMBER_PR_CHANGE="",IF(TITLE_NUMBER_PR="","",TITLE_NUMBER_PR),TITLE_NUMBER_PR_CHANGE)</f>
        <v>18-3341</v>
      </c>
      <c r="BK35" s="2754"/>
      <c r="BL35" s="2754"/>
      <c r="BM35" s="2754"/>
      <c r="BN35" s="2754"/>
      <c r="BO35" s="2754"/>
      <c r="BP35" s="2754"/>
      <c r="BQ35" s="2050"/>
      <c r="BR35" s="2754" t="str">
        <f>IF(TITLE_NUMBER_PR_CHANGE="",IF(TITLE_NUMBER_PR="","",TITLE_NUMBER_PR),TITLE_NUMBER_PR_CHANGE)</f>
        <v>18-3341</v>
      </c>
      <c r="BS35" s="2754"/>
      <c r="BT35" s="2754"/>
      <c r="BU35" s="2754"/>
      <c r="BV35" s="2754"/>
      <c r="BW35" s="2754"/>
      <c r="BX35" s="2754"/>
      <c r="BY35" s="2050"/>
      <c r="BZ35" s="2754" t="str">
        <f>IF(TITLE_NUMBER_PR_CHANGE="",IF(TITLE_NUMBER_PR="","",TITLE_NUMBER_PR),TITLE_NUMBER_PR_CHANGE)</f>
        <v>18-3341</v>
      </c>
      <c r="CA35" s="2754"/>
      <c r="CB35" s="2754"/>
      <c r="CC35" s="2754"/>
      <c r="CD35" s="2754"/>
      <c r="CE35" s="2754"/>
      <c r="CF35" s="2754"/>
      <c r="CG35" s="2050"/>
      <c r="CH35" s="2754" t="str">
        <f>IF(TITLE_NUMBER_PR_CHANGE="",IF(TITLE_NUMBER_PR="","",TITLE_NUMBER_PR),TITLE_NUMBER_PR_CHANGE)</f>
        <v>18-3341</v>
      </c>
      <c r="CI35" s="2754"/>
      <c r="CJ35" s="2754"/>
      <c r="CK35" s="2754"/>
      <c r="CL35" s="2754"/>
      <c r="CM35" s="2754"/>
      <c r="CN35" s="2754"/>
      <c r="CO35" s="2050"/>
      <c r="CP35" s="2754" t="str">
        <f>IF(TITLE_NUMBER_PR_CHANGE="",IF(TITLE_NUMBER_PR="","",TITLE_NUMBER_PR),TITLE_NUMBER_PR_CHANGE)</f>
        <v>18-3341</v>
      </c>
      <c r="CQ35" s="2754"/>
      <c r="CR35" s="2754"/>
      <c r="CS35" s="2754"/>
      <c r="CT35" s="2754"/>
      <c r="CU35" s="2754"/>
      <c r="CV35" s="2754"/>
      <c r="CW35" s="2050"/>
      <c r="CX35" s="2754" t="str">
        <f>IF(TITLE_NUMBER_PR_CHANGE="",IF(TITLE_NUMBER_PR="","",TITLE_NUMBER_PR),TITLE_NUMBER_PR_CHANGE)</f>
        <v>18-3341</v>
      </c>
      <c r="CY35" s="2754"/>
      <c r="CZ35" s="2754"/>
      <c r="DA35" s="2754"/>
      <c r="DB35" s="2754"/>
      <c r="DC35" s="2754"/>
      <c r="DD35" s="2754"/>
      <c r="DE35" s="2050"/>
      <c r="DF35" s="262"/>
      <c r="DG35" s="216"/>
      <c r="DH35" s="303"/>
      <c r="DI35" s="303"/>
      <c r="DJ35" s="303"/>
      <c r="DK35" s="303"/>
      <c r="DL35" s="303"/>
      <c r="DM35" s="353">
        <v>0</v>
      </c>
    </row>
    <row r="36" spans="1:117" s="2529"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426</v>
      </c>
      <c r="AD36" s="262"/>
      <c r="AE36" s="262"/>
      <c r="AF36" s="262"/>
      <c r="AG36" s="262"/>
      <c r="AH36" s="262"/>
      <c r="AI36" s="262"/>
      <c r="AJ36" s="262"/>
      <c r="AK36" s="214" t="s">
        <v>426</v>
      </c>
      <c r="AL36" s="2050"/>
      <c r="AM36" s="2050"/>
      <c r="AN36" s="2050"/>
      <c r="AO36" s="2050"/>
      <c r="AP36" s="2050"/>
      <c r="AQ36" s="2050"/>
      <c r="AR36" s="2050"/>
      <c r="AS36" s="2279" t="s">
        <v>426</v>
      </c>
      <c r="AT36" s="2050"/>
      <c r="AU36" s="2050"/>
      <c r="AV36" s="2050"/>
      <c r="AW36" s="2050"/>
      <c r="AX36" s="2050"/>
      <c r="AY36" s="2050"/>
      <c r="AZ36" s="2050"/>
      <c r="BA36" s="2279" t="s">
        <v>426</v>
      </c>
      <c r="BB36" s="2050"/>
      <c r="BC36" s="2050"/>
      <c r="BD36" s="2050"/>
      <c r="BE36" s="2050"/>
      <c r="BF36" s="2050"/>
      <c r="BG36" s="2050"/>
      <c r="BH36" s="2050"/>
      <c r="BI36" s="2279" t="s">
        <v>426</v>
      </c>
      <c r="BJ36" s="2050"/>
      <c r="BK36" s="2050"/>
      <c r="BL36" s="2050"/>
      <c r="BM36" s="2050"/>
      <c r="BN36" s="2050"/>
      <c r="BO36" s="2050"/>
      <c r="BP36" s="2050"/>
      <c r="BQ36" s="2279" t="s">
        <v>426</v>
      </c>
      <c r="BR36" s="2050"/>
      <c r="BS36" s="2050"/>
      <c r="BT36" s="2050"/>
      <c r="BU36" s="2050"/>
      <c r="BV36" s="2050"/>
      <c r="BW36" s="2050"/>
      <c r="BX36" s="2050"/>
      <c r="BY36" s="2279" t="s">
        <v>426</v>
      </c>
      <c r="BZ36" s="2050"/>
      <c r="CA36" s="2050"/>
      <c r="CB36" s="2050"/>
      <c r="CC36" s="2050"/>
      <c r="CD36" s="2050"/>
      <c r="CE36" s="2050"/>
      <c r="CF36" s="2050"/>
      <c r="CG36" s="2279" t="s">
        <v>426</v>
      </c>
      <c r="CH36" s="2050"/>
      <c r="CI36" s="2050"/>
      <c r="CJ36" s="2050"/>
      <c r="CK36" s="2050"/>
      <c r="CL36" s="2050"/>
      <c r="CM36" s="2050"/>
      <c r="CN36" s="2050"/>
      <c r="CO36" s="2279" t="s">
        <v>426</v>
      </c>
      <c r="CP36" s="2050"/>
      <c r="CQ36" s="2050"/>
      <c r="CR36" s="2050"/>
      <c r="CS36" s="2050"/>
      <c r="CT36" s="2050"/>
      <c r="CU36" s="2050"/>
      <c r="CV36" s="2050"/>
      <c r="CW36" s="2279" t="s">
        <v>426</v>
      </c>
      <c r="CX36" s="2050"/>
      <c r="CY36" s="2050"/>
      <c r="CZ36" s="2050"/>
      <c r="DA36" s="2050"/>
      <c r="DB36" s="2050"/>
      <c r="DC36" s="2050"/>
      <c r="DD36" s="2050"/>
      <c r="DE36" s="2279" t="s">
        <v>426</v>
      </c>
      <c r="DH36" s="303"/>
      <c r="DI36" s="303"/>
      <c r="DJ36" s="303"/>
      <c r="DK36" s="303"/>
      <c r="DL36" s="303"/>
      <c r="DM36" s="353">
        <v>0</v>
      </c>
    </row>
    <row r="37" spans="1:117" ht="14.65" customHeight="1">
      <c r="Q37" s="311"/>
      <c r="R37" s="311"/>
      <c r="S37" s="1193"/>
      <c r="T37" s="298"/>
      <c r="U37" s="1162"/>
      <c r="V37" s="2756"/>
      <c r="W37" s="2756"/>
      <c r="X37" s="2756"/>
      <c r="Y37" s="2756"/>
      <c r="Z37" s="2756"/>
      <c r="AA37" s="2756"/>
      <c r="AB37" s="2756"/>
      <c r="AC37" s="2756"/>
      <c r="AD37" s="2756"/>
      <c r="AE37" s="2756"/>
      <c r="AF37" s="2756"/>
      <c r="AG37" s="2756"/>
      <c r="AH37" s="2756"/>
      <c r="AI37" s="2756"/>
      <c r="AJ37" s="2756"/>
      <c r="AK37" s="2756"/>
      <c r="AL37" s="2756" t="s">
        <v>427</v>
      </c>
      <c r="AM37" s="2756"/>
      <c r="AN37" s="2756"/>
      <c r="AO37" s="2756"/>
      <c r="AP37" s="2756"/>
      <c r="AQ37" s="2756"/>
      <c r="AR37" s="2756"/>
      <c r="AS37" s="2756"/>
      <c r="AT37" s="2756" t="s">
        <v>427</v>
      </c>
      <c r="AU37" s="2756"/>
      <c r="AV37" s="2756"/>
      <c r="AW37" s="2756"/>
      <c r="AX37" s="2756"/>
      <c r="AY37" s="2756"/>
      <c r="AZ37" s="2756"/>
      <c r="BA37" s="2756"/>
      <c r="BB37" s="2756" t="s">
        <v>427</v>
      </c>
      <c r="BC37" s="2756"/>
      <c r="BD37" s="2756"/>
      <c r="BE37" s="2756"/>
      <c r="BF37" s="2756"/>
      <c r="BG37" s="2756"/>
      <c r="BH37" s="2756"/>
      <c r="BI37" s="2756"/>
      <c r="BJ37" s="2756" t="s">
        <v>427</v>
      </c>
      <c r="BK37" s="2756"/>
      <c r="BL37" s="2756"/>
      <c r="BM37" s="2756"/>
      <c r="BN37" s="2756"/>
      <c r="BO37" s="2756"/>
      <c r="BP37" s="2756"/>
      <c r="BQ37" s="2756"/>
      <c r="BR37" s="2756" t="s">
        <v>427</v>
      </c>
      <c r="BS37" s="2756"/>
      <c r="BT37" s="2756"/>
      <c r="BU37" s="2756"/>
      <c r="BV37" s="2756"/>
      <c r="BW37" s="2756"/>
      <c r="BX37" s="2756"/>
      <c r="BY37" s="2756"/>
      <c r="BZ37" s="2756" t="s">
        <v>427</v>
      </c>
      <c r="CA37" s="2756"/>
      <c r="CB37" s="2756"/>
      <c r="CC37" s="2756"/>
      <c r="CD37" s="2756"/>
      <c r="CE37" s="2756"/>
      <c r="CF37" s="2756"/>
      <c r="CG37" s="2756"/>
      <c r="CH37" s="2756" t="s">
        <v>427</v>
      </c>
      <c r="CI37" s="2756"/>
      <c r="CJ37" s="2756"/>
      <c r="CK37" s="2756"/>
      <c r="CL37" s="2756"/>
      <c r="CM37" s="2756"/>
      <c r="CN37" s="2756"/>
      <c r="CO37" s="2756"/>
      <c r="CP37" s="2756" t="s">
        <v>427</v>
      </c>
      <c r="CQ37" s="2756"/>
      <c r="CR37" s="2756"/>
      <c r="CS37" s="2756"/>
      <c r="CT37" s="2756"/>
      <c r="CU37" s="2756"/>
      <c r="CV37" s="2756"/>
      <c r="CW37" s="2756"/>
      <c r="CX37" s="2756" t="s">
        <v>427</v>
      </c>
      <c r="CY37" s="2756"/>
      <c r="CZ37" s="2756"/>
      <c r="DA37" s="2756"/>
      <c r="DB37" s="2756"/>
      <c r="DC37" s="2756"/>
      <c r="DD37" s="2756"/>
      <c r="DE37" s="2756"/>
      <c r="DM37" s="1073">
        <v>14</v>
      </c>
    </row>
    <row r="38" spans="1:117" ht="15" customHeight="1">
      <c r="Q38" s="311"/>
      <c r="R38" s="311"/>
      <c r="S38" s="2638" t="s">
        <v>302</v>
      </c>
      <c r="T38" s="2638"/>
      <c r="U38" s="2638"/>
      <c r="V38" s="2638"/>
      <c r="W38" s="2638"/>
      <c r="X38" s="2638"/>
      <c r="Y38" s="2638"/>
      <c r="Z38" s="2638"/>
      <c r="AA38" s="2638"/>
      <c r="AB38" s="2638"/>
      <c r="AC38" s="2638"/>
      <c r="AD38" s="2638"/>
      <c r="AE38" s="2638"/>
      <c r="AF38" s="2638"/>
      <c r="AG38" s="2638"/>
      <c r="AH38" s="2638"/>
      <c r="AI38" s="2638"/>
      <c r="AJ38" s="2638"/>
      <c r="AK38" s="2638"/>
      <c r="AL38" s="2638" t="s">
        <v>302</v>
      </c>
      <c r="AM38" s="2638"/>
      <c r="AN38" s="2638"/>
      <c r="AO38" s="2638"/>
      <c r="AP38" s="2638"/>
      <c r="AQ38" s="2638"/>
      <c r="AR38" s="2638"/>
      <c r="AS38" s="2638"/>
      <c r="AT38" s="2638" t="s">
        <v>302</v>
      </c>
      <c r="AU38" s="2638"/>
      <c r="AV38" s="2638"/>
      <c r="AW38" s="2638"/>
      <c r="AX38" s="2638"/>
      <c r="AY38" s="2638"/>
      <c r="AZ38" s="2638"/>
      <c r="BA38" s="2638"/>
      <c r="BB38" s="2638" t="s">
        <v>302</v>
      </c>
      <c r="BC38" s="2638"/>
      <c r="BD38" s="2638"/>
      <c r="BE38" s="2638"/>
      <c r="BF38" s="2638"/>
      <c r="BG38" s="2638"/>
      <c r="BH38" s="2638"/>
      <c r="BI38" s="2638"/>
      <c r="BJ38" s="2638" t="s">
        <v>302</v>
      </c>
      <c r="BK38" s="2638"/>
      <c r="BL38" s="2638"/>
      <c r="BM38" s="2638"/>
      <c r="BN38" s="2638"/>
      <c r="BO38" s="2638"/>
      <c r="BP38" s="2638"/>
      <c r="BQ38" s="2638"/>
      <c r="BR38" s="2638" t="s">
        <v>302</v>
      </c>
      <c r="BS38" s="2638"/>
      <c r="BT38" s="2638"/>
      <c r="BU38" s="2638"/>
      <c r="BV38" s="2638"/>
      <c r="BW38" s="2638"/>
      <c r="BX38" s="2638"/>
      <c r="BY38" s="2638"/>
      <c r="BZ38" s="2638" t="s">
        <v>302</v>
      </c>
      <c r="CA38" s="2638"/>
      <c r="CB38" s="2638"/>
      <c r="CC38" s="2638"/>
      <c r="CD38" s="2638"/>
      <c r="CE38" s="2638"/>
      <c r="CF38" s="2638"/>
      <c r="CG38" s="2638"/>
      <c r="CH38" s="2638" t="s">
        <v>302</v>
      </c>
      <c r="CI38" s="2638"/>
      <c r="CJ38" s="2638"/>
      <c r="CK38" s="2638"/>
      <c r="CL38" s="2638"/>
      <c r="CM38" s="2638"/>
      <c r="CN38" s="2638"/>
      <c r="CO38" s="2638"/>
      <c r="CP38" s="2638" t="s">
        <v>302</v>
      </c>
      <c r="CQ38" s="2638"/>
      <c r="CR38" s="2638"/>
      <c r="CS38" s="2638"/>
      <c r="CT38" s="2638"/>
      <c r="CU38" s="2638"/>
      <c r="CV38" s="2638"/>
      <c r="CW38" s="2638"/>
      <c r="CX38" s="2638" t="s">
        <v>302</v>
      </c>
      <c r="CY38" s="2638"/>
      <c r="CZ38" s="2638"/>
      <c r="DA38" s="2638"/>
      <c r="DB38" s="2638"/>
      <c r="DC38" s="2638"/>
      <c r="DD38" s="2638"/>
      <c r="DE38" s="2638"/>
      <c r="DF38" s="2638"/>
      <c r="DG38" s="2638"/>
      <c r="DM38" s="1073"/>
    </row>
    <row r="39" spans="1:117" ht="14.65" customHeight="1">
      <c r="Q39" s="311"/>
      <c r="R39" s="311"/>
      <c r="S39" s="2782" t="s">
        <v>87</v>
      </c>
      <c r="T39" s="2724" t="s">
        <v>428</v>
      </c>
      <c r="U39" s="237"/>
      <c r="V39" s="2757" t="s">
        <v>429</v>
      </c>
      <c r="W39" s="2758"/>
      <c r="X39" s="2758"/>
      <c r="Y39" s="2758"/>
      <c r="Z39" s="2758"/>
      <c r="AA39" s="2758"/>
      <c r="AB39" s="2759"/>
      <c r="AC39" s="2760" t="s">
        <v>430</v>
      </c>
      <c r="AD39" s="2757" t="s">
        <v>429</v>
      </c>
      <c r="AE39" s="2758"/>
      <c r="AF39" s="2758"/>
      <c r="AG39" s="2758"/>
      <c r="AH39" s="2758"/>
      <c r="AI39" s="2758"/>
      <c r="AJ39" s="2759"/>
      <c r="AK39" s="2760" t="s">
        <v>431</v>
      </c>
      <c r="AL39" s="2757" t="s">
        <v>429</v>
      </c>
      <c r="AM39" s="2758"/>
      <c r="AN39" s="2758"/>
      <c r="AO39" s="2758"/>
      <c r="AP39" s="2758"/>
      <c r="AQ39" s="2758"/>
      <c r="AR39" s="2759"/>
      <c r="AS39" s="2760" t="s">
        <v>430</v>
      </c>
      <c r="AT39" s="2757" t="s">
        <v>429</v>
      </c>
      <c r="AU39" s="2758"/>
      <c r="AV39" s="2758"/>
      <c r="AW39" s="2758"/>
      <c r="AX39" s="2758"/>
      <c r="AY39" s="2758"/>
      <c r="AZ39" s="2759"/>
      <c r="BA39" s="2760" t="s">
        <v>430</v>
      </c>
      <c r="BB39" s="2757" t="s">
        <v>429</v>
      </c>
      <c r="BC39" s="2758"/>
      <c r="BD39" s="2758"/>
      <c r="BE39" s="2758"/>
      <c r="BF39" s="2758"/>
      <c r="BG39" s="2758"/>
      <c r="BH39" s="2759"/>
      <c r="BI39" s="2760" t="s">
        <v>430</v>
      </c>
      <c r="BJ39" s="2757" t="s">
        <v>429</v>
      </c>
      <c r="BK39" s="2758"/>
      <c r="BL39" s="2758"/>
      <c r="BM39" s="2758"/>
      <c r="BN39" s="2758"/>
      <c r="BO39" s="2758"/>
      <c r="BP39" s="2759"/>
      <c r="BQ39" s="2760" t="s">
        <v>430</v>
      </c>
      <c r="BR39" s="2757" t="s">
        <v>429</v>
      </c>
      <c r="BS39" s="2758"/>
      <c r="BT39" s="2758"/>
      <c r="BU39" s="2758"/>
      <c r="BV39" s="2758"/>
      <c r="BW39" s="2758"/>
      <c r="BX39" s="2759"/>
      <c r="BY39" s="2760" t="s">
        <v>430</v>
      </c>
      <c r="BZ39" s="2757" t="s">
        <v>429</v>
      </c>
      <c r="CA39" s="2758"/>
      <c r="CB39" s="2758"/>
      <c r="CC39" s="2758"/>
      <c r="CD39" s="2758"/>
      <c r="CE39" s="2758"/>
      <c r="CF39" s="2759"/>
      <c r="CG39" s="2760" t="s">
        <v>430</v>
      </c>
      <c r="CH39" s="2757" t="s">
        <v>429</v>
      </c>
      <c r="CI39" s="2758"/>
      <c r="CJ39" s="2758"/>
      <c r="CK39" s="2758"/>
      <c r="CL39" s="2758"/>
      <c r="CM39" s="2758"/>
      <c r="CN39" s="2759"/>
      <c r="CO39" s="2760" t="s">
        <v>430</v>
      </c>
      <c r="CP39" s="2757" t="s">
        <v>429</v>
      </c>
      <c r="CQ39" s="2758"/>
      <c r="CR39" s="2758"/>
      <c r="CS39" s="2758"/>
      <c r="CT39" s="2758"/>
      <c r="CU39" s="2758"/>
      <c r="CV39" s="2759"/>
      <c r="CW39" s="2760" t="s">
        <v>430</v>
      </c>
      <c r="CX39" s="2757" t="s">
        <v>429</v>
      </c>
      <c r="CY39" s="2758"/>
      <c r="CZ39" s="2758"/>
      <c r="DA39" s="2758"/>
      <c r="DB39" s="2758"/>
      <c r="DC39" s="2758"/>
      <c r="DD39" s="2759"/>
      <c r="DE39" s="2760" t="s">
        <v>430</v>
      </c>
      <c r="DF39" s="2783" t="s">
        <v>432</v>
      </c>
      <c r="DG39" s="2638"/>
      <c r="DM39" s="1073">
        <v>14</v>
      </c>
    </row>
    <row r="40" spans="1:117" ht="35.65" customHeight="1">
      <c r="Q40" s="311"/>
      <c r="R40" s="311"/>
      <c r="S40" s="2782"/>
      <c r="T40" s="2724"/>
      <c r="U40" s="953"/>
      <c r="V40" s="2695" t="s">
        <v>433</v>
      </c>
      <c r="W40" s="2763" t="s">
        <v>434</v>
      </c>
      <c r="X40" s="2610" t="s">
        <v>435</v>
      </c>
      <c r="Y40" s="2609"/>
      <c r="Z40" s="2610" t="s">
        <v>436</v>
      </c>
      <c r="AA40" s="2615"/>
      <c r="AB40" s="2609"/>
      <c r="AC40" s="2761"/>
      <c r="AD40" s="2695" t="s">
        <v>433</v>
      </c>
      <c r="AE40" s="2763" t="s">
        <v>434</v>
      </c>
      <c r="AF40" s="2610" t="s">
        <v>435</v>
      </c>
      <c r="AG40" s="2609"/>
      <c r="AH40" s="2610" t="s">
        <v>436</v>
      </c>
      <c r="AI40" s="2615"/>
      <c r="AJ40" s="2609"/>
      <c r="AK40" s="2761"/>
      <c r="AL40" s="2695" t="s">
        <v>433</v>
      </c>
      <c r="AM40" s="2763" t="s">
        <v>434</v>
      </c>
      <c r="AN40" s="2610" t="s">
        <v>435</v>
      </c>
      <c r="AO40" s="2609"/>
      <c r="AP40" s="2610" t="s">
        <v>436</v>
      </c>
      <c r="AQ40" s="2615"/>
      <c r="AR40" s="2609"/>
      <c r="AS40" s="2761"/>
      <c r="AT40" s="2695" t="s">
        <v>433</v>
      </c>
      <c r="AU40" s="2763" t="s">
        <v>434</v>
      </c>
      <c r="AV40" s="2610" t="s">
        <v>435</v>
      </c>
      <c r="AW40" s="2609"/>
      <c r="AX40" s="2610" t="s">
        <v>436</v>
      </c>
      <c r="AY40" s="2615"/>
      <c r="AZ40" s="2609"/>
      <c r="BA40" s="2761"/>
      <c r="BB40" s="2695" t="s">
        <v>433</v>
      </c>
      <c r="BC40" s="2763" t="s">
        <v>434</v>
      </c>
      <c r="BD40" s="2610" t="s">
        <v>435</v>
      </c>
      <c r="BE40" s="2609"/>
      <c r="BF40" s="2610" t="s">
        <v>436</v>
      </c>
      <c r="BG40" s="2615"/>
      <c r="BH40" s="2609"/>
      <c r="BI40" s="2761"/>
      <c r="BJ40" s="2695" t="s">
        <v>433</v>
      </c>
      <c r="BK40" s="2763" t="s">
        <v>434</v>
      </c>
      <c r="BL40" s="2610" t="s">
        <v>435</v>
      </c>
      <c r="BM40" s="2609"/>
      <c r="BN40" s="2610" t="s">
        <v>436</v>
      </c>
      <c r="BO40" s="2615"/>
      <c r="BP40" s="2609"/>
      <c r="BQ40" s="2761"/>
      <c r="BR40" s="2695" t="s">
        <v>433</v>
      </c>
      <c r="BS40" s="2763" t="s">
        <v>434</v>
      </c>
      <c r="BT40" s="2610" t="s">
        <v>435</v>
      </c>
      <c r="BU40" s="2609"/>
      <c r="BV40" s="2610" t="s">
        <v>436</v>
      </c>
      <c r="BW40" s="2615"/>
      <c r="BX40" s="2609"/>
      <c r="BY40" s="2761"/>
      <c r="BZ40" s="2695" t="s">
        <v>433</v>
      </c>
      <c r="CA40" s="2763" t="s">
        <v>434</v>
      </c>
      <c r="CB40" s="2610" t="s">
        <v>435</v>
      </c>
      <c r="CC40" s="2609"/>
      <c r="CD40" s="2610" t="s">
        <v>436</v>
      </c>
      <c r="CE40" s="2615"/>
      <c r="CF40" s="2609"/>
      <c r="CG40" s="2761"/>
      <c r="CH40" s="2695" t="s">
        <v>433</v>
      </c>
      <c r="CI40" s="2763" t="s">
        <v>434</v>
      </c>
      <c r="CJ40" s="2610" t="s">
        <v>435</v>
      </c>
      <c r="CK40" s="2609"/>
      <c r="CL40" s="2610" t="s">
        <v>436</v>
      </c>
      <c r="CM40" s="2615"/>
      <c r="CN40" s="2609"/>
      <c r="CO40" s="2761"/>
      <c r="CP40" s="2695" t="s">
        <v>433</v>
      </c>
      <c r="CQ40" s="2763" t="s">
        <v>434</v>
      </c>
      <c r="CR40" s="2610" t="s">
        <v>435</v>
      </c>
      <c r="CS40" s="2609"/>
      <c r="CT40" s="2610" t="s">
        <v>436</v>
      </c>
      <c r="CU40" s="2615"/>
      <c r="CV40" s="2609"/>
      <c r="CW40" s="2761"/>
      <c r="CX40" s="2695" t="s">
        <v>433</v>
      </c>
      <c r="CY40" s="2763" t="s">
        <v>434</v>
      </c>
      <c r="CZ40" s="2610" t="s">
        <v>435</v>
      </c>
      <c r="DA40" s="2609"/>
      <c r="DB40" s="2610" t="s">
        <v>436</v>
      </c>
      <c r="DC40" s="2615"/>
      <c r="DD40" s="2609"/>
      <c r="DE40" s="2761"/>
      <c r="DF40" s="2784"/>
      <c r="DG40" s="2638"/>
      <c r="DM40" s="1073">
        <v>34</v>
      </c>
    </row>
    <row r="41" spans="1:117" ht="35.65" customHeight="1">
      <c r="A41" s="1288"/>
      <c r="B41" s="1288" t="s">
        <v>134</v>
      </c>
      <c r="C41" s="1288" t="s">
        <v>135</v>
      </c>
      <c r="D41" s="1288" t="s">
        <v>136</v>
      </c>
      <c r="E41" s="1282" t="s">
        <v>437</v>
      </c>
      <c r="F41" s="1282" t="s">
        <v>438</v>
      </c>
      <c r="G41" s="1282" t="s">
        <v>439</v>
      </c>
      <c r="H41" s="1282" t="s">
        <v>440</v>
      </c>
      <c r="I41" s="1282" t="s">
        <v>441</v>
      </c>
      <c r="J41" s="1282" t="s">
        <v>442</v>
      </c>
      <c r="K41" s="1282" t="s">
        <v>443</v>
      </c>
      <c r="L41" s="1282" t="s">
        <v>417</v>
      </c>
      <c r="Q41" s="311"/>
      <c r="R41" s="311"/>
      <c r="S41" s="2782"/>
      <c r="T41" s="2724"/>
      <c r="U41" s="238"/>
      <c r="V41" s="2744"/>
      <c r="W41" s="2764"/>
      <c r="X41" s="1140" t="s">
        <v>444</v>
      </c>
      <c r="Y41" s="1140" t="s">
        <v>445</v>
      </c>
      <c r="Z41" s="1139" t="s">
        <v>446</v>
      </c>
      <c r="AA41" s="2733" t="s">
        <v>447</v>
      </c>
      <c r="AB41" s="2735"/>
      <c r="AC41" s="2762"/>
      <c r="AD41" s="2744"/>
      <c r="AE41" s="2764"/>
      <c r="AF41" s="1140" t="s">
        <v>444</v>
      </c>
      <c r="AG41" s="1140" t="s">
        <v>445</v>
      </c>
      <c r="AH41" s="1231" t="s">
        <v>446</v>
      </c>
      <c r="AI41" s="2733" t="s">
        <v>447</v>
      </c>
      <c r="AJ41" s="2735"/>
      <c r="AK41" s="2762"/>
      <c r="AL41" s="2744"/>
      <c r="AM41" s="2764"/>
      <c r="AN41" s="2280" t="s">
        <v>444</v>
      </c>
      <c r="AO41" s="2280" t="s">
        <v>445</v>
      </c>
      <c r="AP41" s="2280" t="s">
        <v>446</v>
      </c>
      <c r="AQ41" s="2733" t="s">
        <v>447</v>
      </c>
      <c r="AR41" s="2735"/>
      <c r="AS41" s="2762"/>
      <c r="AT41" s="2744"/>
      <c r="AU41" s="2764"/>
      <c r="AV41" s="2280" t="s">
        <v>444</v>
      </c>
      <c r="AW41" s="2280" t="s">
        <v>445</v>
      </c>
      <c r="AX41" s="2280" t="s">
        <v>446</v>
      </c>
      <c r="AY41" s="2733" t="s">
        <v>447</v>
      </c>
      <c r="AZ41" s="2735"/>
      <c r="BA41" s="2762"/>
      <c r="BB41" s="2744"/>
      <c r="BC41" s="2764"/>
      <c r="BD41" s="2280" t="s">
        <v>444</v>
      </c>
      <c r="BE41" s="2280" t="s">
        <v>445</v>
      </c>
      <c r="BF41" s="2280" t="s">
        <v>446</v>
      </c>
      <c r="BG41" s="2733" t="s">
        <v>447</v>
      </c>
      <c r="BH41" s="2735"/>
      <c r="BI41" s="2762"/>
      <c r="BJ41" s="2744"/>
      <c r="BK41" s="2764"/>
      <c r="BL41" s="2280" t="s">
        <v>444</v>
      </c>
      <c r="BM41" s="2280" t="s">
        <v>445</v>
      </c>
      <c r="BN41" s="2280" t="s">
        <v>446</v>
      </c>
      <c r="BO41" s="2733" t="s">
        <v>447</v>
      </c>
      <c r="BP41" s="2735"/>
      <c r="BQ41" s="2762"/>
      <c r="BR41" s="2744"/>
      <c r="BS41" s="2764"/>
      <c r="BT41" s="2280" t="s">
        <v>444</v>
      </c>
      <c r="BU41" s="2280" t="s">
        <v>445</v>
      </c>
      <c r="BV41" s="2280" t="s">
        <v>446</v>
      </c>
      <c r="BW41" s="2733" t="s">
        <v>447</v>
      </c>
      <c r="BX41" s="2735"/>
      <c r="BY41" s="2762"/>
      <c r="BZ41" s="2744"/>
      <c r="CA41" s="2764"/>
      <c r="CB41" s="2280" t="s">
        <v>444</v>
      </c>
      <c r="CC41" s="2280" t="s">
        <v>445</v>
      </c>
      <c r="CD41" s="2280" t="s">
        <v>446</v>
      </c>
      <c r="CE41" s="2733" t="s">
        <v>447</v>
      </c>
      <c r="CF41" s="2735"/>
      <c r="CG41" s="2762"/>
      <c r="CH41" s="2744"/>
      <c r="CI41" s="2764"/>
      <c r="CJ41" s="2280" t="s">
        <v>444</v>
      </c>
      <c r="CK41" s="2280" t="s">
        <v>445</v>
      </c>
      <c r="CL41" s="2280" t="s">
        <v>446</v>
      </c>
      <c r="CM41" s="2733" t="s">
        <v>447</v>
      </c>
      <c r="CN41" s="2735"/>
      <c r="CO41" s="2762"/>
      <c r="CP41" s="2744"/>
      <c r="CQ41" s="2764"/>
      <c r="CR41" s="2280" t="s">
        <v>444</v>
      </c>
      <c r="CS41" s="2280" t="s">
        <v>445</v>
      </c>
      <c r="CT41" s="2280" t="s">
        <v>446</v>
      </c>
      <c r="CU41" s="2733" t="s">
        <v>447</v>
      </c>
      <c r="CV41" s="2735"/>
      <c r="CW41" s="2762"/>
      <c r="CX41" s="2744"/>
      <c r="CY41" s="2764"/>
      <c r="CZ41" s="2280" t="s">
        <v>444</v>
      </c>
      <c r="DA41" s="2280" t="s">
        <v>445</v>
      </c>
      <c r="DB41" s="2280" t="s">
        <v>446</v>
      </c>
      <c r="DC41" s="2733" t="s">
        <v>447</v>
      </c>
      <c r="DD41" s="2735"/>
      <c r="DE41" s="2762"/>
      <c r="DF41" s="2785"/>
      <c r="DG41" s="2638"/>
      <c r="DM41" s="1073">
        <v>34</v>
      </c>
    </row>
    <row r="42" spans="1:117" s="254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108</v>
      </c>
      <c r="T42" s="1173" t="s">
        <v>109</v>
      </c>
      <c r="U42" s="1163" t="str">
        <f ca="1">OFFSET(U42,0,-1)</f>
        <v>2</v>
      </c>
      <c r="V42" s="1174">
        <f ca="1">OFFSET(V42,0,-1)+1</f>
        <v>3</v>
      </c>
      <c r="W42" s="1174"/>
      <c r="X42" s="1174">
        <f ca="1">OFFSET(X42,0,-1)+1</f>
        <v>1</v>
      </c>
      <c r="Y42" s="1174">
        <f ca="1">OFFSET(Y42,0,-1)+1</f>
        <v>2</v>
      </c>
      <c r="Z42" s="1174">
        <f ca="1">OFFSET(Z42,0,-1)+1</f>
        <v>3</v>
      </c>
      <c r="AA42" s="2765">
        <f ca="1">OFFSET(AA42,0,-1)+1</f>
        <v>4</v>
      </c>
      <c r="AB42" s="2765"/>
      <c r="AC42" s="1174">
        <f ca="1">OFFSET(AC42,0,-2)+1</f>
        <v>5</v>
      </c>
      <c r="AD42" s="1230">
        <f ca="1">OFFSET(AD42,0,-1)+1</f>
        <v>6</v>
      </c>
      <c r="AE42" s="1230"/>
      <c r="AF42" s="1230">
        <f ca="1">OFFSET(AF42,0,-1)+1</f>
        <v>1</v>
      </c>
      <c r="AG42" s="1230">
        <f ca="1">OFFSET(AG42,0,-1)+1</f>
        <v>2</v>
      </c>
      <c r="AH42" s="1230">
        <f ca="1">OFFSET(AH42,0,-1)+1</f>
        <v>3</v>
      </c>
      <c r="AI42" s="2765">
        <f ca="1">OFFSET(AI42,0,-1)+1</f>
        <v>4</v>
      </c>
      <c r="AJ42" s="2765"/>
      <c r="AK42" s="1230">
        <f ca="1">OFFSET(AK42,0,-2)+1</f>
        <v>5</v>
      </c>
      <c r="AL42" s="2282">
        <f ca="1">OFFSET(AL42,0,-1)+1</f>
        <v>6</v>
      </c>
      <c r="AM42" s="2282"/>
      <c r="AN42" s="2282">
        <f ca="1">OFFSET(AN42,0,-1)+1</f>
        <v>1</v>
      </c>
      <c r="AO42" s="2282">
        <f ca="1">OFFSET(AO42,0,-1)+1</f>
        <v>2</v>
      </c>
      <c r="AP42" s="2282">
        <f ca="1">OFFSET(AP42,0,-1)+1</f>
        <v>3</v>
      </c>
      <c r="AQ42" s="2765">
        <f ca="1">OFFSET(AQ42,0,-1)+1</f>
        <v>4</v>
      </c>
      <c r="AR42" s="2765"/>
      <c r="AS42" s="2282">
        <f ca="1">OFFSET(AS42,0,-2)+1</f>
        <v>5</v>
      </c>
      <c r="AT42" s="2282">
        <f ca="1">OFFSET(AT42,0,-1)+1</f>
        <v>6</v>
      </c>
      <c r="AU42" s="2282"/>
      <c r="AV42" s="2282">
        <f ca="1">OFFSET(AV42,0,-1)+1</f>
        <v>1</v>
      </c>
      <c r="AW42" s="2282">
        <f ca="1">OFFSET(AW42,0,-1)+1</f>
        <v>2</v>
      </c>
      <c r="AX42" s="2282">
        <f ca="1">OFFSET(AX42,0,-1)+1</f>
        <v>3</v>
      </c>
      <c r="AY42" s="2765">
        <f ca="1">OFFSET(AY42,0,-1)+1</f>
        <v>4</v>
      </c>
      <c r="AZ42" s="2765"/>
      <c r="BA42" s="2282">
        <f ca="1">OFFSET(BA42,0,-2)+1</f>
        <v>5</v>
      </c>
      <c r="BB42" s="2282">
        <f ca="1">OFFSET(BB42,0,-1)+1</f>
        <v>6</v>
      </c>
      <c r="BC42" s="2282"/>
      <c r="BD42" s="2282">
        <f ca="1">OFFSET(BD42,0,-1)+1</f>
        <v>1</v>
      </c>
      <c r="BE42" s="2282">
        <f ca="1">OFFSET(BE42,0,-1)+1</f>
        <v>2</v>
      </c>
      <c r="BF42" s="2282">
        <f ca="1">OFFSET(BF42,0,-1)+1</f>
        <v>3</v>
      </c>
      <c r="BG42" s="2765">
        <f ca="1">OFFSET(BG42,0,-1)+1</f>
        <v>4</v>
      </c>
      <c r="BH42" s="2765"/>
      <c r="BI42" s="2282">
        <f ca="1">OFFSET(BI42,0,-2)+1</f>
        <v>5</v>
      </c>
      <c r="BJ42" s="2282">
        <f ca="1">OFFSET(BJ42,0,-1)+1</f>
        <v>6</v>
      </c>
      <c r="BK42" s="2282"/>
      <c r="BL42" s="2282">
        <f ca="1">OFFSET(BL42,0,-1)+1</f>
        <v>1</v>
      </c>
      <c r="BM42" s="2282">
        <f ca="1">OFFSET(BM42,0,-1)+1</f>
        <v>2</v>
      </c>
      <c r="BN42" s="2282">
        <f ca="1">OFFSET(BN42,0,-1)+1</f>
        <v>3</v>
      </c>
      <c r="BO42" s="2765">
        <f ca="1">OFFSET(BO42,0,-1)+1</f>
        <v>4</v>
      </c>
      <c r="BP42" s="2765"/>
      <c r="BQ42" s="2282">
        <f ca="1">OFFSET(BQ42,0,-2)+1</f>
        <v>5</v>
      </c>
      <c r="BR42" s="2282">
        <f ca="1">OFFSET(BR42,0,-1)+1</f>
        <v>6</v>
      </c>
      <c r="BS42" s="2282"/>
      <c r="BT42" s="2282">
        <f ca="1">OFFSET(BT42,0,-1)+1</f>
        <v>1</v>
      </c>
      <c r="BU42" s="2282">
        <f ca="1">OFFSET(BU42,0,-1)+1</f>
        <v>2</v>
      </c>
      <c r="BV42" s="2282">
        <f ca="1">OFFSET(BV42,0,-1)+1</f>
        <v>3</v>
      </c>
      <c r="BW42" s="2765">
        <f ca="1">OFFSET(BW42,0,-1)+1</f>
        <v>4</v>
      </c>
      <c r="BX42" s="2765"/>
      <c r="BY42" s="2282">
        <f ca="1">OFFSET(BY42,0,-2)+1</f>
        <v>5</v>
      </c>
      <c r="BZ42" s="2282">
        <f ca="1">OFFSET(BZ42,0,-1)+1</f>
        <v>6</v>
      </c>
      <c r="CA42" s="2282"/>
      <c r="CB42" s="2282">
        <f ca="1">OFFSET(CB42,0,-1)+1</f>
        <v>1</v>
      </c>
      <c r="CC42" s="2282">
        <f ca="1">OFFSET(CC42,0,-1)+1</f>
        <v>2</v>
      </c>
      <c r="CD42" s="2282">
        <f ca="1">OFFSET(CD42,0,-1)+1</f>
        <v>3</v>
      </c>
      <c r="CE42" s="2765">
        <f ca="1">OFFSET(CE42,0,-1)+1</f>
        <v>4</v>
      </c>
      <c r="CF42" s="2765"/>
      <c r="CG42" s="2282">
        <f ca="1">OFFSET(CG42,0,-2)+1</f>
        <v>5</v>
      </c>
      <c r="CH42" s="2282">
        <f ca="1">OFFSET(CH42,0,-1)+1</f>
        <v>6</v>
      </c>
      <c r="CI42" s="2282"/>
      <c r="CJ42" s="2282">
        <f ca="1">OFFSET(CJ42,0,-1)+1</f>
        <v>1</v>
      </c>
      <c r="CK42" s="2282">
        <f ca="1">OFFSET(CK42,0,-1)+1</f>
        <v>2</v>
      </c>
      <c r="CL42" s="2282">
        <f ca="1">OFFSET(CL42,0,-1)+1</f>
        <v>3</v>
      </c>
      <c r="CM42" s="2765">
        <f ca="1">OFFSET(CM42,0,-1)+1</f>
        <v>4</v>
      </c>
      <c r="CN42" s="2765"/>
      <c r="CO42" s="2282">
        <f ca="1">OFFSET(CO42,0,-2)+1</f>
        <v>5</v>
      </c>
      <c r="CP42" s="2282">
        <f ca="1">OFFSET(CP42,0,-1)+1</f>
        <v>6</v>
      </c>
      <c r="CQ42" s="2282"/>
      <c r="CR42" s="2282">
        <f ca="1">OFFSET(CR42,0,-1)+1</f>
        <v>1</v>
      </c>
      <c r="CS42" s="2282">
        <f ca="1">OFFSET(CS42,0,-1)+1</f>
        <v>2</v>
      </c>
      <c r="CT42" s="2282">
        <f ca="1">OFFSET(CT42,0,-1)+1</f>
        <v>3</v>
      </c>
      <c r="CU42" s="2765">
        <f ca="1">OFFSET(CU42,0,-1)+1</f>
        <v>4</v>
      </c>
      <c r="CV42" s="2765"/>
      <c r="CW42" s="2282">
        <f ca="1">OFFSET(CW42,0,-2)+1</f>
        <v>5</v>
      </c>
      <c r="CX42" s="2282">
        <f ca="1">OFFSET(CX42,0,-1)+1</f>
        <v>6</v>
      </c>
      <c r="CY42" s="2282"/>
      <c r="CZ42" s="2282">
        <f ca="1">OFFSET(CZ42,0,-1)+1</f>
        <v>1</v>
      </c>
      <c r="DA42" s="2282">
        <f ca="1">OFFSET(DA42,0,-1)+1</f>
        <v>2</v>
      </c>
      <c r="DB42" s="2282">
        <f ca="1">OFFSET(DB42,0,-1)+1</f>
        <v>3</v>
      </c>
      <c r="DC42" s="2765">
        <f ca="1">OFFSET(DC42,0,-1)+1</f>
        <v>4</v>
      </c>
      <c r="DD42" s="2765"/>
      <c r="DE42" s="2282">
        <f ca="1">OFFSET(DE42,0,-2)+1</f>
        <v>5</v>
      </c>
      <c r="DF42" s="1163">
        <f ca="1">OFFSET(DF42,0,-1)</f>
        <v>5</v>
      </c>
      <c r="DG42" s="1174">
        <f ca="1">OFFSET(DG42,0,-1)+1</f>
        <v>6</v>
      </c>
      <c r="DH42" s="446"/>
      <c r="DI42" s="446"/>
      <c r="DJ42" s="446"/>
      <c r="DK42" s="446"/>
      <c r="DL42" s="446"/>
      <c r="DM42" s="431">
        <v>0</v>
      </c>
    </row>
    <row r="43" spans="1:117" ht="24" customHeight="1">
      <c r="A43" s="1281" t="s">
        <v>156</v>
      </c>
      <c r="B43" s="1281"/>
      <c r="C43" s="1281"/>
      <c r="D43" s="1281"/>
      <c r="E43" s="2778">
        <v>1</v>
      </c>
      <c r="F43" s="1281"/>
      <c r="G43" s="1281"/>
      <c r="H43" s="1281"/>
      <c r="I43" s="1281"/>
      <c r="J43" s="1281"/>
      <c r="K43" s="1281"/>
      <c r="L43" s="1282"/>
      <c r="M43" s="1283"/>
      <c r="N43" s="1283"/>
      <c r="O43" s="1283"/>
      <c r="P43" s="296"/>
      <c r="Q43" s="295"/>
      <c r="R43" s="290"/>
      <c r="S43" s="1142">
        <f>INDEX(PT_DIFFERENTIATION_NUM_NTAR,MATCH(A43,PT_DIFFERENTIATION_NTAR_ID,0))</f>
        <v>1</v>
      </c>
      <c r="T43" s="234" t="s">
        <v>122</v>
      </c>
      <c r="U43" s="236"/>
      <c r="V43" s="2766"/>
      <c r="W43" s="2767"/>
      <c r="X43" s="2767"/>
      <c r="Y43" s="2767"/>
      <c r="Z43" s="2767"/>
      <c r="AA43" s="2767"/>
      <c r="AB43" s="2767"/>
      <c r="AC43" s="2768"/>
      <c r="AD43" s="2766" t="str">
        <f>INDEX(PT_DIFFERENTIATION_NTAR,MATCH(A43,PT_DIFFERENTIATION_NTAR_ID,0))</f>
        <v>Долгосрочный тариф на тепловую энергию для потребителей ООО "Ноябрьская ПГЭ" на 2025 - 2029 годы</v>
      </c>
      <c r="AE43" s="2767"/>
      <c r="AF43" s="2767"/>
      <c r="AG43" s="2767"/>
      <c r="AH43" s="2767"/>
      <c r="AI43" s="2767"/>
      <c r="AJ43" s="2767"/>
      <c r="AK43" s="2767"/>
      <c r="AL43" s="2766"/>
      <c r="AM43" s="2767"/>
      <c r="AN43" s="2767"/>
      <c r="AO43" s="2767"/>
      <c r="AP43" s="2767"/>
      <c r="AQ43" s="2767"/>
      <c r="AR43" s="2767"/>
      <c r="AS43" s="2768"/>
      <c r="AT43" s="2766"/>
      <c r="AU43" s="2767"/>
      <c r="AV43" s="2767"/>
      <c r="AW43" s="2767"/>
      <c r="AX43" s="2767"/>
      <c r="AY43" s="2767"/>
      <c r="AZ43" s="2767"/>
      <c r="BA43" s="2768"/>
      <c r="BB43" s="2766"/>
      <c r="BC43" s="2767"/>
      <c r="BD43" s="2767"/>
      <c r="BE43" s="2767"/>
      <c r="BF43" s="2767"/>
      <c r="BG43" s="2767"/>
      <c r="BH43" s="2767"/>
      <c r="BI43" s="2768"/>
      <c r="BJ43" s="2766"/>
      <c r="BK43" s="2767"/>
      <c r="BL43" s="2767"/>
      <c r="BM43" s="2767"/>
      <c r="BN43" s="2767"/>
      <c r="BO43" s="2767"/>
      <c r="BP43" s="2767"/>
      <c r="BQ43" s="2768"/>
      <c r="BR43" s="2766"/>
      <c r="BS43" s="2767"/>
      <c r="BT43" s="2767"/>
      <c r="BU43" s="2767"/>
      <c r="BV43" s="2767"/>
      <c r="BW43" s="2767"/>
      <c r="BX43" s="2767"/>
      <c r="BY43" s="2768"/>
      <c r="BZ43" s="2766"/>
      <c r="CA43" s="2767"/>
      <c r="CB43" s="2767"/>
      <c r="CC43" s="2767"/>
      <c r="CD43" s="2767"/>
      <c r="CE43" s="2767"/>
      <c r="CF43" s="2767"/>
      <c r="CG43" s="2768"/>
      <c r="CH43" s="2766"/>
      <c r="CI43" s="2767"/>
      <c r="CJ43" s="2767"/>
      <c r="CK43" s="2767"/>
      <c r="CL43" s="2767"/>
      <c r="CM43" s="2767"/>
      <c r="CN43" s="2767"/>
      <c r="CO43" s="2768"/>
      <c r="CP43" s="2766"/>
      <c r="CQ43" s="2767"/>
      <c r="CR43" s="2767"/>
      <c r="CS43" s="2767"/>
      <c r="CT43" s="2767"/>
      <c r="CU43" s="2767"/>
      <c r="CV43" s="2767"/>
      <c r="CW43" s="2768"/>
      <c r="CX43" s="2766"/>
      <c r="CY43" s="2767"/>
      <c r="CZ43" s="2767"/>
      <c r="DA43" s="2767"/>
      <c r="DB43" s="2767"/>
      <c r="DC43" s="2767"/>
      <c r="DD43" s="2767"/>
      <c r="DE43" s="2768"/>
      <c r="DF43" s="2768"/>
      <c r="DG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DI43" s="435"/>
      <c r="DJ43" s="435" t="str">
        <f t="shared" ref="DJ43:DJ57" si="1">IF(T43="","",T43)</f>
        <v>Наименование тарифа</v>
      </c>
      <c r="DK43" s="435"/>
      <c r="DL43" s="435"/>
      <c r="DM43" s="1073">
        <v>23</v>
      </c>
    </row>
    <row r="44" spans="1:117" ht="24" customHeight="1">
      <c r="A44" s="1281" t="s">
        <v>156</v>
      </c>
      <c r="B44" s="1281" t="s">
        <v>157</v>
      </c>
      <c r="C44" s="1281"/>
      <c r="D44" s="1281"/>
      <c r="E44" s="2779"/>
      <c r="F44" s="2778">
        <v>1</v>
      </c>
      <c r="G44" s="1281"/>
      <c r="H44" s="1281"/>
      <c r="I44" s="1281"/>
      <c r="J44" s="1281"/>
      <c r="K44" s="1281"/>
      <c r="L44" s="1282"/>
      <c r="M44" s="1283"/>
      <c r="N44" s="1283"/>
      <c r="O44" s="1283"/>
      <c r="P44" s="457"/>
      <c r="Q44" s="287"/>
      <c r="R44" s="288"/>
      <c r="S44" s="1142" t="str">
        <f>INDEX(PT_DIFFERENTIATION_NUM_TER,MATCH(B44,PT_DIFFERENTIATION_TER_ID,0))</f>
        <v>1.1</v>
      </c>
      <c r="T44" s="244" t="s">
        <v>399</v>
      </c>
      <c r="U44" s="236"/>
      <c r="V44" s="2766"/>
      <c r="W44" s="2767"/>
      <c r="X44" s="2767"/>
      <c r="Y44" s="2767"/>
      <c r="Z44" s="2767"/>
      <c r="AA44" s="2767"/>
      <c r="AB44" s="2767"/>
      <c r="AC44" s="2768"/>
      <c r="AD44" s="2766" t="str">
        <f>INDEX(PT_DIFFERENTIATION_TER,MATCH(B44,PT_DIFFERENTIATION_TER_ID,0))</f>
        <v>без дифференциации</v>
      </c>
      <c r="AE44" s="2767"/>
      <c r="AF44" s="2767"/>
      <c r="AG44" s="2767"/>
      <c r="AH44" s="2767"/>
      <c r="AI44" s="2767"/>
      <c r="AJ44" s="2767"/>
      <c r="AK44" s="2767"/>
      <c r="AL44" s="2766"/>
      <c r="AM44" s="2767"/>
      <c r="AN44" s="2767"/>
      <c r="AO44" s="2767"/>
      <c r="AP44" s="2767"/>
      <c r="AQ44" s="2767"/>
      <c r="AR44" s="2767"/>
      <c r="AS44" s="2768"/>
      <c r="AT44" s="2766"/>
      <c r="AU44" s="2767"/>
      <c r="AV44" s="2767"/>
      <c r="AW44" s="2767"/>
      <c r="AX44" s="2767"/>
      <c r="AY44" s="2767"/>
      <c r="AZ44" s="2767"/>
      <c r="BA44" s="2768"/>
      <c r="BB44" s="2766"/>
      <c r="BC44" s="2767"/>
      <c r="BD44" s="2767"/>
      <c r="BE44" s="2767"/>
      <c r="BF44" s="2767"/>
      <c r="BG44" s="2767"/>
      <c r="BH44" s="2767"/>
      <c r="BI44" s="2768"/>
      <c r="BJ44" s="2766"/>
      <c r="BK44" s="2767"/>
      <c r="BL44" s="2767"/>
      <c r="BM44" s="2767"/>
      <c r="BN44" s="2767"/>
      <c r="BO44" s="2767"/>
      <c r="BP44" s="2767"/>
      <c r="BQ44" s="2768"/>
      <c r="BR44" s="2766"/>
      <c r="BS44" s="2767"/>
      <c r="BT44" s="2767"/>
      <c r="BU44" s="2767"/>
      <c r="BV44" s="2767"/>
      <c r="BW44" s="2767"/>
      <c r="BX44" s="2767"/>
      <c r="BY44" s="2768"/>
      <c r="BZ44" s="2766"/>
      <c r="CA44" s="2767"/>
      <c r="CB44" s="2767"/>
      <c r="CC44" s="2767"/>
      <c r="CD44" s="2767"/>
      <c r="CE44" s="2767"/>
      <c r="CF44" s="2767"/>
      <c r="CG44" s="2768"/>
      <c r="CH44" s="2766"/>
      <c r="CI44" s="2767"/>
      <c r="CJ44" s="2767"/>
      <c r="CK44" s="2767"/>
      <c r="CL44" s="2767"/>
      <c r="CM44" s="2767"/>
      <c r="CN44" s="2767"/>
      <c r="CO44" s="2768"/>
      <c r="CP44" s="2766"/>
      <c r="CQ44" s="2767"/>
      <c r="CR44" s="2767"/>
      <c r="CS44" s="2767"/>
      <c r="CT44" s="2767"/>
      <c r="CU44" s="2767"/>
      <c r="CV44" s="2767"/>
      <c r="CW44" s="2768"/>
      <c r="CX44" s="2766"/>
      <c r="CY44" s="2767"/>
      <c r="CZ44" s="2767"/>
      <c r="DA44" s="2767"/>
      <c r="DB44" s="2767"/>
      <c r="DC44" s="2767"/>
      <c r="DD44" s="2767"/>
      <c r="DE44" s="2768"/>
      <c r="DF44" s="2768"/>
      <c r="DG44" s="1176" t="s">
        <v>400</v>
      </c>
      <c r="DI44" s="435"/>
      <c r="DJ44" s="435" t="str">
        <f t="shared" si="1"/>
        <v>Территория действия тарифа</v>
      </c>
      <c r="DK44" s="435"/>
      <c r="DL44" s="435"/>
      <c r="DM44" s="1073">
        <v>23</v>
      </c>
    </row>
    <row r="45" spans="1:117" ht="24" customHeight="1">
      <c r="A45" s="1281" t="s">
        <v>156</v>
      </c>
      <c r="B45" s="1281" t="s">
        <v>157</v>
      </c>
      <c r="C45" s="1281" t="s">
        <v>158</v>
      </c>
      <c r="D45" s="1281"/>
      <c r="E45" s="2779"/>
      <c r="F45" s="2779"/>
      <c r="G45" s="2778">
        <v>1</v>
      </c>
      <c r="H45" s="1281"/>
      <c r="I45" s="1281"/>
      <c r="J45" s="1281"/>
      <c r="K45" s="1281"/>
      <c r="L45" s="1282"/>
      <c r="M45" s="1283"/>
      <c r="N45" s="1283"/>
      <c r="O45" s="1283"/>
      <c r="P45" s="289"/>
      <c r="Q45" s="287"/>
      <c r="R45" s="288"/>
      <c r="S45" s="1142" t="str">
        <f>INDEX(PT_DIFFERENTIATION_NUM_CS,MATCH(C45,PT_DIFFERENTIATION_CS_ID,0))</f>
        <v>1.1.1</v>
      </c>
      <c r="T45" s="245" t="s">
        <v>401</v>
      </c>
      <c r="U45" s="236"/>
      <c r="V45" s="2766"/>
      <c r="W45" s="2767"/>
      <c r="X45" s="2767"/>
      <c r="Y45" s="2767"/>
      <c r="Z45" s="2767"/>
      <c r="AA45" s="2767"/>
      <c r="AB45" s="2767"/>
      <c r="AC45" s="2768"/>
      <c r="AD45" s="2766" t="str">
        <f>INDEX(PT_DIFFERENTIATION_CS,MATCH(C45,PT_DIFFERENTIATION_CS_ID,0))</f>
        <v>без дифференциации</v>
      </c>
      <c r="AE45" s="2767"/>
      <c r="AF45" s="2767"/>
      <c r="AG45" s="2767"/>
      <c r="AH45" s="2767"/>
      <c r="AI45" s="2767"/>
      <c r="AJ45" s="2767"/>
      <c r="AK45" s="2767"/>
      <c r="AL45" s="2766"/>
      <c r="AM45" s="2767"/>
      <c r="AN45" s="2767"/>
      <c r="AO45" s="2767"/>
      <c r="AP45" s="2767"/>
      <c r="AQ45" s="2767"/>
      <c r="AR45" s="2767"/>
      <c r="AS45" s="2768"/>
      <c r="AT45" s="2766"/>
      <c r="AU45" s="2767"/>
      <c r="AV45" s="2767"/>
      <c r="AW45" s="2767"/>
      <c r="AX45" s="2767"/>
      <c r="AY45" s="2767"/>
      <c r="AZ45" s="2767"/>
      <c r="BA45" s="2768"/>
      <c r="BB45" s="2766"/>
      <c r="BC45" s="2767"/>
      <c r="BD45" s="2767"/>
      <c r="BE45" s="2767"/>
      <c r="BF45" s="2767"/>
      <c r="BG45" s="2767"/>
      <c r="BH45" s="2767"/>
      <c r="BI45" s="2768"/>
      <c r="BJ45" s="2766"/>
      <c r="BK45" s="2767"/>
      <c r="BL45" s="2767"/>
      <c r="BM45" s="2767"/>
      <c r="BN45" s="2767"/>
      <c r="BO45" s="2767"/>
      <c r="BP45" s="2767"/>
      <c r="BQ45" s="2768"/>
      <c r="BR45" s="2766"/>
      <c r="BS45" s="2767"/>
      <c r="BT45" s="2767"/>
      <c r="BU45" s="2767"/>
      <c r="BV45" s="2767"/>
      <c r="BW45" s="2767"/>
      <c r="BX45" s="2767"/>
      <c r="BY45" s="2768"/>
      <c r="BZ45" s="2766"/>
      <c r="CA45" s="2767"/>
      <c r="CB45" s="2767"/>
      <c r="CC45" s="2767"/>
      <c r="CD45" s="2767"/>
      <c r="CE45" s="2767"/>
      <c r="CF45" s="2767"/>
      <c r="CG45" s="2768"/>
      <c r="CH45" s="2766"/>
      <c r="CI45" s="2767"/>
      <c r="CJ45" s="2767"/>
      <c r="CK45" s="2767"/>
      <c r="CL45" s="2767"/>
      <c r="CM45" s="2767"/>
      <c r="CN45" s="2767"/>
      <c r="CO45" s="2768"/>
      <c r="CP45" s="2766"/>
      <c r="CQ45" s="2767"/>
      <c r="CR45" s="2767"/>
      <c r="CS45" s="2767"/>
      <c r="CT45" s="2767"/>
      <c r="CU45" s="2767"/>
      <c r="CV45" s="2767"/>
      <c r="CW45" s="2768"/>
      <c r="CX45" s="2766"/>
      <c r="CY45" s="2767"/>
      <c r="CZ45" s="2767"/>
      <c r="DA45" s="2767"/>
      <c r="DB45" s="2767"/>
      <c r="DC45" s="2767"/>
      <c r="DD45" s="2767"/>
      <c r="DE45" s="2768"/>
      <c r="DF45" s="2768"/>
      <c r="DG45" s="1176" t="s">
        <v>402</v>
      </c>
      <c r="DI45" s="435"/>
      <c r="DJ45" s="435" t="str">
        <f t="shared" si="1"/>
        <v xml:space="preserve">Наименование системы теплоснабжения </v>
      </c>
      <c r="DK45" s="435"/>
      <c r="DL45" s="435"/>
      <c r="DM45" s="1073">
        <v>23</v>
      </c>
    </row>
    <row r="46" spans="1:117" ht="24" customHeight="1">
      <c r="A46" s="1281" t="s">
        <v>156</v>
      </c>
      <c r="B46" s="1281" t="s">
        <v>157</v>
      </c>
      <c r="C46" s="1281" t="s">
        <v>158</v>
      </c>
      <c r="D46" s="1281" t="s">
        <v>159</v>
      </c>
      <c r="E46" s="2779"/>
      <c r="F46" s="2779"/>
      <c r="G46" s="2779"/>
      <c r="H46" s="2778">
        <v>1</v>
      </c>
      <c r="I46" s="1281"/>
      <c r="J46" s="1281"/>
      <c r="K46" s="1281"/>
      <c r="L46" s="1282"/>
      <c r="M46" s="1283"/>
      <c r="N46" s="1283"/>
      <c r="O46" s="1283"/>
      <c r="P46" s="289"/>
      <c r="Q46" s="287"/>
      <c r="R46" s="288"/>
      <c r="S46" s="1142" t="str">
        <f>INDEX(PT_DIFFERENTIATION_NUM_IST_TE,MATCH(D46,PT_DIFFERENTIATION_IST_TE_ID,0))</f>
        <v>1.1.1.1</v>
      </c>
      <c r="T46" s="246" t="s">
        <v>403</v>
      </c>
      <c r="U46" s="236"/>
      <c r="V46" s="2766"/>
      <c r="W46" s="2767"/>
      <c r="X46" s="2767"/>
      <c r="Y46" s="2767"/>
      <c r="Z46" s="2767"/>
      <c r="AA46" s="2767"/>
      <c r="AB46" s="2767"/>
      <c r="AC46" s="2768"/>
      <c r="AD46" s="2766" t="str">
        <f>INDEX(PT_DIFFERENTIATION_IST_TE,MATCH(D46,PT_DIFFERENTIATION_IST_TE_ID,0))</f>
        <v>без дифференциации</v>
      </c>
      <c r="AE46" s="2767"/>
      <c r="AF46" s="2767"/>
      <c r="AG46" s="2767"/>
      <c r="AH46" s="2767"/>
      <c r="AI46" s="2767"/>
      <c r="AJ46" s="2767"/>
      <c r="AK46" s="2767"/>
      <c r="AL46" s="2766"/>
      <c r="AM46" s="2767"/>
      <c r="AN46" s="2767"/>
      <c r="AO46" s="2767"/>
      <c r="AP46" s="2767"/>
      <c r="AQ46" s="2767"/>
      <c r="AR46" s="2767"/>
      <c r="AS46" s="2768"/>
      <c r="AT46" s="2766"/>
      <c r="AU46" s="2767"/>
      <c r="AV46" s="2767"/>
      <c r="AW46" s="2767"/>
      <c r="AX46" s="2767"/>
      <c r="AY46" s="2767"/>
      <c r="AZ46" s="2767"/>
      <c r="BA46" s="2768"/>
      <c r="BB46" s="2766"/>
      <c r="BC46" s="2767"/>
      <c r="BD46" s="2767"/>
      <c r="BE46" s="2767"/>
      <c r="BF46" s="2767"/>
      <c r="BG46" s="2767"/>
      <c r="BH46" s="2767"/>
      <c r="BI46" s="2768"/>
      <c r="BJ46" s="2766"/>
      <c r="BK46" s="2767"/>
      <c r="BL46" s="2767"/>
      <c r="BM46" s="2767"/>
      <c r="BN46" s="2767"/>
      <c r="BO46" s="2767"/>
      <c r="BP46" s="2767"/>
      <c r="BQ46" s="2768"/>
      <c r="BR46" s="2766"/>
      <c r="BS46" s="2767"/>
      <c r="BT46" s="2767"/>
      <c r="BU46" s="2767"/>
      <c r="BV46" s="2767"/>
      <c r="BW46" s="2767"/>
      <c r="BX46" s="2767"/>
      <c r="BY46" s="2768"/>
      <c r="BZ46" s="2766"/>
      <c r="CA46" s="2767"/>
      <c r="CB46" s="2767"/>
      <c r="CC46" s="2767"/>
      <c r="CD46" s="2767"/>
      <c r="CE46" s="2767"/>
      <c r="CF46" s="2767"/>
      <c r="CG46" s="2768"/>
      <c r="CH46" s="2766"/>
      <c r="CI46" s="2767"/>
      <c r="CJ46" s="2767"/>
      <c r="CK46" s="2767"/>
      <c r="CL46" s="2767"/>
      <c r="CM46" s="2767"/>
      <c r="CN46" s="2767"/>
      <c r="CO46" s="2768"/>
      <c r="CP46" s="2766"/>
      <c r="CQ46" s="2767"/>
      <c r="CR46" s="2767"/>
      <c r="CS46" s="2767"/>
      <c r="CT46" s="2767"/>
      <c r="CU46" s="2767"/>
      <c r="CV46" s="2767"/>
      <c r="CW46" s="2768"/>
      <c r="CX46" s="2766"/>
      <c r="CY46" s="2767"/>
      <c r="CZ46" s="2767"/>
      <c r="DA46" s="2767"/>
      <c r="DB46" s="2767"/>
      <c r="DC46" s="2767"/>
      <c r="DD46" s="2767"/>
      <c r="DE46" s="2768"/>
      <c r="DF46" s="2768"/>
      <c r="DG46" s="1176" t="s">
        <v>404</v>
      </c>
      <c r="DI46" s="435"/>
      <c r="DJ46" s="435" t="str">
        <f t="shared" si="1"/>
        <v xml:space="preserve">Источник тепловой энергии  </v>
      </c>
      <c r="DK46" s="435"/>
      <c r="DL46" s="435"/>
      <c r="DM46" s="1073">
        <v>23</v>
      </c>
    </row>
    <row r="47" spans="1:117" ht="49.5" customHeight="1">
      <c r="A47" s="1281" t="s">
        <v>156</v>
      </c>
      <c r="B47" s="1281" t="s">
        <v>157</v>
      </c>
      <c r="C47" s="1281" t="s">
        <v>158</v>
      </c>
      <c r="D47" s="1281" t="s">
        <v>159</v>
      </c>
      <c r="E47" s="2779"/>
      <c r="F47" s="2779"/>
      <c r="G47" s="2779"/>
      <c r="H47" s="2779"/>
      <c r="I47" s="2776" t="str">
        <f>S46&amp;".1"</f>
        <v>1.1.1.1.1</v>
      </c>
      <c r="J47" s="1281"/>
      <c r="K47" s="1281"/>
      <c r="L47" s="1282" t="s">
        <v>405</v>
      </c>
      <c r="P47" s="2777">
        <v>1</v>
      </c>
      <c r="Q47" s="1138"/>
      <c r="R47" s="291"/>
      <c r="S47" s="1142" t="str">
        <f>$I47</f>
        <v>1.1.1.1.1</v>
      </c>
      <c r="T47" s="221" t="s">
        <v>406</v>
      </c>
      <c r="U47" s="236"/>
      <c r="V47" s="2769"/>
      <c r="W47" s="2770"/>
      <c r="X47" s="2770"/>
      <c r="Y47" s="2770"/>
      <c r="Z47" s="2770"/>
      <c r="AA47" s="2770"/>
      <c r="AB47" s="2770"/>
      <c r="AC47" s="2771"/>
      <c r="AD47" s="2769" t="s">
        <v>448</v>
      </c>
      <c r="AE47" s="2770"/>
      <c r="AF47" s="2770"/>
      <c r="AG47" s="2770"/>
      <c r="AH47" s="2770"/>
      <c r="AI47" s="2770"/>
      <c r="AJ47" s="2770"/>
      <c r="AK47" s="2770"/>
      <c r="AL47" s="2769"/>
      <c r="AM47" s="2770"/>
      <c r="AN47" s="2770"/>
      <c r="AO47" s="2770"/>
      <c r="AP47" s="2770"/>
      <c r="AQ47" s="2770"/>
      <c r="AR47" s="2770"/>
      <c r="AS47" s="2771"/>
      <c r="AT47" s="2769"/>
      <c r="AU47" s="2770"/>
      <c r="AV47" s="2770"/>
      <c r="AW47" s="2770"/>
      <c r="AX47" s="2770"/>
      <c r="AY47" s="2770"/>
      <c r="AZ47" s="2770"/>
      <c r="BA47" s="2771"/>
      <c r="BB47" s="2769"/>
      <c r="BC47" s="2770"/>
      <c r="BD47" s="2770"/>
      <c r="BE47" s="2770"/>
      <c r="BF47" s="2770"/>
      <c r="BG47" s="2770"/>
      <c r="BH47" s="2770"/>
      <c r="BI47" s="2771"/>
      <c r="BJ47" s="2769"/>
      <c r="BK47" s="2770"/>
      <c r="BL47" s="2770"/>
      <c r="BM47" s="2770"/>
      <c r="BN47" s="2770"/>
      <c r="BO47" s="2770"/>
      <c r="BP47" s="2770"/>
      <c r="BQ47" s="2771"/>
      <c r="BR47" s="2769"/>
      <c r="BS47" s="2770"/>
      <c r="BT47" s="2770"/>
      <c r="BU47" s="2770"/>
      <c r="BV47" s="2770"/>
      <c r="BW47" s="2770"/>
      <c r="BX47" s="2770"/>
      <c r="BY47" s="2771"/>
      <c r="BZ47" s="2769"/>
      <c r="CA47" s="2770"/>
      <c r="CB47" s="2770"/>
      <c r="CC47" s="2770"/>
      <c r="CD47" s="2770"/>
      <c r="CE47" s="2770"/>
      <c r="CF47" s="2770"/>
      <c r="CG47" s="2771"/>
      <c r="CH47" s="2769"/>
      <c r="CI47" s="2770"/>
      <c r="CJ47" s="2770"/>
      <c r="CK47" s="2770"/>
      <c r="CL47" s="2770"/>
      <c r="CM47" s="2770"/>
      <c r="CN47" s="2770"/>
      <c r="CO47" s="2771"/>
      <c r="CP47" s="2769"/>
      <c r="CQ47" s="2770"/>
      <c r="CR47" s="2770"/>
      <c r="CS47" s="2770"/>
      <c r="CT47" s="2770"/>
      <c r="CU47" s="2770"/>
      <c r="CV47" s="2770"/>
      <c r="CW47" s="2771"/>
      <c r="CX47" s="2769"/>
      <c r="CY47" s="2770"/>
      <c r="CZ47" s="2770"/>
      <c r="DA47" s="2770"/>
      <c r="DB47" s="2770"/>
      <c r="DC47" s="2770"/>
      <c r="DD47" s="2770"/>
      <c r="DE47" s="2771"/>
      <c r="DF47" s="2771"/>
      <c r="DG47" s="1176" t="s">
        <v>407</v>
      </c>
      <c r="DI47" s="435"/>
      <c r="DJ47" s="435" t="str">
        <f t="shared" si="1"/>
        <v>Схема подключения теплопотребляющей установки к коллектору источника тепловой энергии</v>
      </c>
      <c r="DK47" s="435"/>
      <c r="DL47" s="435"/>
      <c r="DM47" s="1073">
        <v>47</v>
      </c>
    </row>
    <row r="48" spans="1:117" ht="24" customHeight="1">
      <c r="A48" s="1281" t="s">
        <v>156</v>
      </c>
      <c r="B48" s="1281" t="s">
        <v>157</v>
      </c>
      <c r="C48" s="1281" t="s">
        <v>158</v>
      </c>
      <c r="D48" s="1281" t="s">
        <v>159</v>
      </c>
      <c r="E48" s="2779"/>
      <c r="F48" s="2779"/>
      <c r="G48" s="2779"/>
      <c r="H48" s="2779"/>
      <c r="I48" s="2787"/>
      <c r="J48" s="2776" t="str">
        <f>I47&amp;".1"</f>
        <v>1.1.1.1.1.1</v>
      </c>
      <c r="K48" s="1281"/>
      <c r="L48" s="1282" t="s">
        <v>408</v>
      </c>
      <c r="P48" s="2777"/>
      <c r="Q48" s="2777">
        <v>1</v>
      </c>
      <c r="R48" s="292"/>
      <c r="S48" s="1142" t="str">
        <f>$J48</f>
        <v>1.1.1.1.1.1</v>
      </c>
      <c r="T48" s="222" t="s">
        <v>409</v>
      </c>
      <c r="U48" s="236"/>
      <c r="V48" s="2769"/>
      <c r="W48" s="2770"/>
      <c r="X48" s="2770"/>
      <c r="Y48" s="2770"/>
      <c r="Z48" s="2770"/>
      <c r="AA48" s="2770"/>
      <c r="AB48" s="2770"/>
      <c r="AC48" s="2771"/>
      <c r="AD48" s="2769" t="s">
        <v>449</v>
      </c>
      <c r="AE48" s="2770"/>
      <c r="AF48" s="2770"/>
      <c r="AG48" s="2770"/>
      <c r="AH48" s="2770"/>
      <c r="AI48" s="2770"/>
      <c r="AJ48" s="2770"/>
      <c r="AK48" s="2770"/>
      <c r="AL48" s="2769"/>
      <c r="AM48" s="2770"/>
      <c r="AN48" s="2770"/>
      <c r="AO48" s="2770"/>
      <c r="AP48" s="2770"/>
      <c r="AQ48" s="2770"/>
      <c r="AR48" s="2770"/>
      <c r="AS48" s="2771"/>
      <c r="AT48" s="2769"/>
      <c r="AU48" s="2770"/>
      <c r="AV48" s="2770"/>
      <c r="AW48" s="2770"/>
      <c r="AX48" s="2770"/>
      <c r="AY48" s="2770"/>
      <c r="AZ48" s="2770"/>
      <c r="BA48" s="2771"/>
      <c r="BB48" s="2769"/>
      <c r="BC48" s="2770"/>
      <c r="BD48" s="2770"/>
      <c r="BE48" s="2770"/>
      <c r="BF48" s="2770"/>
      <c r="BG48" s="2770"/>
      <c r="BH48" s="2770"/>
      <c r="BI48" s="2771"/>
      <c r="BJ48" s="2769"/>
      <c r="BK48" s="2770"/>
      <c r="BL48" s="2770"/>
      <c r="BM48" s="2770"/>
      <c r="BN48" s="2770"/>
      <c r="BO48" s="2770"/>
      <c r="BP48" s="2770"/>
      <c r="BQ48" s="2771"/>
      <c r="BR48" s="2769"/>
      <c r="BS48" s="2770"/>
      <c r="BT48" s="2770"/>
      <c r="BU48" s="2770"/>
      <c r="BV48" s="2770"/>
      <c r="BW48" s="2770"/>
      <c r="BX48" s="2770"/>
      <c r="BY48" s="2771"/>
      <c r="BZ48" s="2769"/>
      <c r="CA48" s="2770"/>
      <c r="CB48" s="2770"/>
      <c r="CC48" s="2770"/>
      <c r="CD48" s="2770"/>
      <c r="CE48" s="2770"/>
      <c r="CF48" s="2770"/>
      <c r="CG48" s="2771"/>
      <c r="CH48" s="2769"/>
      <c r="CI48" s="2770"/>
      <c r="CJ48" s="2770"/>
      <c r="CK48" s="2770"/>
      <c r="CL48" s="2770"/>
      <c r="CM48" s="2770"/>
      <c r="CN48" s="2770"/>
      <c r="CO48" s="2771"/>
      <c r="CP48" s="2769"/>
      <c r="CQ48" s="2770"/>
      <c r="CR48" s="2770"/>
      <c r="CS48" s="2770"/>
      <c r="CT48" s="2770"/>
      <c r="CU48" s="2770"/>
      <c r="CV48" s="2770"/>
      <c r="CW48" s="2771"/>
      <c r="CX48" s="2769"/>
      <c r="CY48" s="2770"/>
      <c r="CZ48" s="2770"/>
      <c r="DA48" s="2770"/>
      <c r="DB48" s="2770"/>
      <c r="DC48" s="2770"/>
      <c r="DD48" s="2770"/>
      <c r="DE48" s="2771"/>
      <c r="DF48" s="2771"/>
      <c r="DG48" s="1176" t="s">
        <v>410</v>
      </c>
      <c r="DI48" s="435"/>
      <c r="DJ48" s="435" t="str">
        <f t="shared" si="1"/>
        <v>Группа потребителей</v>
      </c>
      <c r="DK48" s="435"/>
      <c r="DL48" s="435"/>
      <c r="DM48" s="1073">
        <v>23</v>
      </c>
    </row>
    <row r="49" spans="1:117" ht="24" customHeight="1">
      <c r="A49" s="1281" t="s">
        <v>156</v>
      </c>
      <c r="B49" s="1281" t="s">
        <v>157</v>
      </c>
      <c r="C49" s="1281" t="s">
        <v>158</v>
      </c>
      <c r="D49" s="1281" t="s">
        <v>159</v>
      </c>
      <c r="E49" s="2779"/>
      <c r="F49" s="2779"/>
      <c r="G49" s="2779"/>
      <c r="H49" s="2779"/>
      <c r="I49" s="2787"/>
      <c r="J49" s="2787"/>
      <c r="K49" s="2776" t="str">
        <f>J48&amp;".1"</f>
        <v>1.1.1.1.1.1.1</v>
      </c>
      <c r="L49" s="1282" t="s">
        <v>411</v>
      </c>
      <c r="P49" s="2777"/>
      <c r="Q49" s="2777"/>
      <c r="R49" s="292">
        <v>1</v>
      </c>
      <c r="S49" s="1142" t="str">
        <f>$K49</f>
        <v>1.1.1.1.1.1.1</v>
      </c>
      <c r="T49" s="1265" t="s">
        <v>450</v>
      </c>
      <c r="U49" s="236"/>
      <c r="V49" s="686"/>
      <c r="W49" s="261"/>
      <c r="X49" s="686"/>
      <c r="Y49" s="1175"/>
      <c r="Z49" s="2753"/>
      <c r="AA49" s="2619" t="s">
        <v>66</v>
      </c>
      <c r="AB49" s="2753"/>
      <c r="AC49" s="2619" t="s">
        <v>66</v>
      </c>
      <c r="AD49" s="686">
        <v>835.46</v>
      </c>
      <c r="AE49" s="261"/>
      <c r="AF49" s="686"/>
      <c r="AG49" s="1175"/>
      <c r="AH49" s="2753">
        <v>45658.639965277776</v>
      </c>
      <c r="AI49" s="2619" t="s">
        <v>66</v>
      </c>
      <c r="AJ49" s="2788">
        <v>45838.640115740738</v>
      </c>
      <c r="AK49" s="2619" t="s">
        <v>66</v>
      </c>
      <c r="AL49" s="2051">
        <v>2414.4498276653503</v>
      </c>
      <c r="AM49" s="2052"/>
      <c r="AN49" s="2051"/>
      <c r="AO49" s="2053"/>
      <c r="AP49" s="2753">
        <v>45839.640381944446</v>
      </c>
      <c r="AQ49" s="2619" t="s">
        <v>66</v>
      </c>
      <c r="AR49" s="2751">
        <v>46022.640532407408</v>
      </c>
      <c r="AS49" s="2619" t="s">
        <v>66</v>
      </c>
      <c r="AT49" s="2051">
        <v>1476.1365614624276</v>
      </c>
      <c r="AU49" s="2052"/>
      <c r="AV49" s="2051"/>
      <c r="AW49" s="2053"/>
      <c r="AX49" s="2751">
        <v>46023.640775462962</v>
      </c>
      <c r="AY49" s="2619" t="s">
        <v>66</v>
      </c>
      <c r="AZ49" s="2751">
        <v>46203.641145833331</v>
      </c>
      <c r="BA49" s="2619" t="s">
        <v>66</v>
      </c>
      <c r="BB49" s="2051">
        <v>1476.1365614624276</v>
      </c>
      <c r="BC49" s="2052"/>
      <c r="BD49" s="2051"/>
      <c r="BE49" s="2053"/>
      <c r="BF49" s="2751">
        <v>46204.641412037039</v>
      </c>
      <c r="BG49" s="2619" t="s">
        <v>66</v>
      </c>
      <c r="BH49" s="2751">
        <v>46387.641574074078</v>
      </c>
      <c r="BI49" s="2619" t="s">
        <v>66</v>
      </c>
      <c r="BJ49" s="2051">
        <v>1476.1365614624276</v>
      </c>
      <c r="BK49" s="2052"/>
      <c r="BL49" s="2051"/>
      <c r="BM49" s="2053"/>
      <c r="BN49" s="2751">
        <v>46388.642268518517</v>
      </c>
      <c r="BO49" s="2619" t="s">
        <v>66</v>
      </c>
      <c r="BP49" s="2751">
        <v>46568.642453703702</v>
      </c>
      <c r="BQ49" s="2619" t="s">
        <v>66</v>
      </c>
      <c r="BR49" s="2051">
        <v>1586.640213646851</v>
      </c>
      <c r="BS49" s="2052"/>
      <c r="BT49" s="2051"/>
      <c r="BU49" s="2053"/>
      <c r="BV49" s="2751">
        <v>46569.642685185187</v>
      </c>
      <c r="BW49" s="2619" t="s">
        <v>66</v>
      </c>
      <c r="BX49" s="2751">
        <v>46752.642847222225</v>
      </c>
      <c r="BY49" s="2619" t="s">
        <v>66</v>
      </c>
      <c r="BZ49" s="2051">
        <v>1586.640213646851</v>
      </c>
      <c r="CA49" s="2052"/>
      <c r="CB49" s="2051"/>
      <c r="CC49" s="2053"/>
      <c r="CD49" s="2751">
        <v>46753.643101851849</v>
      </c>
      <c r="CE49" s="2619" t="s">
        <v>66</v>
      </c>
      <c r="CF49" s="2751">
        <v>46934.643321759257</v>
      </c>
      <c r="CG49" s="2619" t="s">
        <v>66</v>
      </c>
      <c r="CH49" s="2051">
        <v>1593.572880256603</v>
      </c>
      <c r="CI49" s="2052"/>
      <c r="CJ49" s="2051"/>
      <c r="CK49" s="2053"/>
      <c r="CL49" s="2751">
        <v>46935.643495370372</v>
      </c>
      <c r="CM49" s="2619" t="s">
        <v>66</v>
      </c>
      <c r="CN49" s="2751">
        <v>47118.643738425926</v>
      </c>
      <c r="CO49" s="2619" t="s">
        <v>66</v>
      </c>
      <c r="CP49" s="2051">
        <v>1593.572880256603</v>
      </c>
      <c r="CQ49" s="2052"/>
      <c r="CR49" s="2051"/>
      <c r="CS49" s="2053"/>
      <c r="CT49" s="2751">
        <v>47119.644074074073</v>
      </c>
      <c r="CU49" s="2619" t="s">
        <v>66</v>
      </c>
      <c r="CV49" s="2751">
        <v>47299.644247685188</v>
      </c>
      <c r="CW49" s="2619" t="s">
        <v>66</v>
      </c>
      <c r="CX49" s="2051">
        <v>1708.8104650930934</v>
      </c>
      <c r="CY49" s="2052"/>
      <c r="CZ49" s="2051"/>
      <c r="DA49" s="2053"/>
      <c r="DB49" s="2751">
        <v>47300.644456018519</v>
      </c>
      <c r="DC49" s="2619" t="s">
        <v>66</v>
      </c>
      <c r="DD49" s="2753">
        <v>47483.644768518519</v>
      </c>
      <c r="DE49" s="2619" t="s">
        <v>66</v>
      </c>
      <c r="DF49" s="1266"/>
      <c r="DG49" s="2773" t="s">
        <v>412</v>
      </c>
      <c r="DH49" s="446" t="e">
        <f ca="1">STRCHECKDATE(V50:DF50)</f>
        <v>#NAME?</v>
      </c>
      <c r="DI49" s="435"/>
      <c r="DJ49" s="435" t="str">
        <f t="shared" si="1"/>
        <v>вода</v>
      </c>
      <c r="DK49" s="435"/>
      <c r="DL49" s="435"/>
      <c r="DM49" s="1073">
        <v>23</v>
      </c>
    </row>
    <row r="50" spans="1:117" ht="1.1499999999999999" customHeight="1">
      <c r="A50" s="1281" t="s">
        <v>156</v>
      </c>
      <c r="B50" s="1281" t="s">
        <v>157</v>
      </c>
      <c r="C50" s="1281" t="s">
        <v>158</v>
      </c>
      <c r="D50" s="1281" t="s">
        <v>159</v>
      </c>
      <c r="E50" s="2779"/>
      <c r="F50" s="2779"/>
      <c r="G50" s="2779"/>
      <c r="H50" s="2779"/>
      <c r="I50" s="2787"/>
      <c r="J50" s="2787"/>
      <c r="K50" s="2776"/>
      <c r="L50" s="1282"/>
      <c r="P50" s="2777"/>
      <c r="Q50" s="2777"/>
      <c r="R50" s="292"/>
      <c r="S50" s="1141"/>
      <c r="T50" s="236"/>
      <c r="U50" s="236"/>
      <c r="V50" s="261"/>
      <c r="W50" s="261"/>
      <c r="X50" s="261"/>
      <c r="Y50" s="264" t="str">
        <f>Z49&amp;"-"&amp;AB49</f>
        <v>-</v>
      </c>
      <c r="Z50" s="2752"/>
      <c r="AA50" s="2619"/>
      <c r="AB50" s="2752"/>
      <c r="AC50" s="2619"/>
      <c r="AD50" s="261"/>
      <c r="AE50" s="261"/>
      <c r="AF50" s="261"/>
      <c r="AG50" s="264" t="str">
        <f>AH49&amp;"-"&amp;AJ49</f>
        <v>45658,6399652778-45838,6401157407</v>
      </c>
      <c r="AH50" s="2752"/>
      <c r="AI50" s="2619"/>
      <c r="AJ50" s="2789"/>
      <c r="AK50" s="2619"/>
      <c r="AL50" s="2052"/>
      <c r="AM50" s="2052"/>
      <c r="AN50" s="2052"/>
      <c r="AO50" s="2054" t="str">
        <f>AP49&amp;"-"&amp;AR49</f>
        <v>45839,6403819444-46022,6405324074</v>
      </c>
      <c r="AP50" s="2752"/>
      <c r="AQ50" s="2619"/>
      <c r="AR50" s="2752"/>
      <c r="AS50" s="2619"/>
      <c r="AT50" s="2052"/>
      <c r="AU50" s="2052"/>
      <c r="AV50" s="2052"/>
      <c r="AW50" s="2054" t="str">
        <f>AX49&amp;"-"&amp;AZ49</f>
        <v>46023,640775463-46203,6411458333</v>
      </c>
      <c r="AX50" s="2752"/>
      <c r="AY50" s="2619"/>
      <c r="AZ50" s="2752"/>
      <c r="BA50" s="2619"/>
      <c r="BB50" s="2052"/>
      <c r="BC50" s="2052"/>
      <c r="BD50" s="2052"/>
      <c r="BE50" s="2054" t="str">
        <f>BF49&amp;"-"&amp;BH49</f>
        <v>46204,641412037-46387,6415740741</v>
      </c>
      <c r="BF50" s="2752"/>
      <c r="BG50" s="2619"/>
      <c r="BH50" s="2752"/>
      <c r="BI50" s="2619"/>
      <c r="BJ50" s="2052"/>
      <c r="BK50" s="2052"/>
      <c r="BL50" s="2052"/>
      <c r="BM50" s="2054" t="str">
        <f>BN49&amp;"-"&amp;BP49</f>
        <v>46388,6422685185-46568,6424537037</v>
      </c>
      <c r="BN50" s="2752"/>
      <c r="BO50" s="2619"/>
      <c r="BP50" s="2752"/>
      <c r="BQ50" s="2619"/>
      <c r="BR50" s="2052"/>
      <c r="BS50" s="2052"/>
      <c r="BT50" s="2052"/>
      <c r="BU50" s="2054" t="str">
        <f>BV49&amp;"-"&amp;BX49</f>
        <v>46569,6426851851-46752,6428472222</v>
      </c>
      <c r="BV50" s="2752"/>
      <c r="BW50" s="2619"/>
      <c r="BX50" s="2752"/>
      <c r="BY50" s="2619"/>
      <c r="BZ50" s="2052"/>
      <c r="CA50" s="2052"/>
      <c r="CB50" s="2052"/>
      <c r="CC50" s="2054" t="str">
        <f>CD49&amp;"-"&amp;CF49</f>
        <v>46753,6431018518-46934,6433217593</v>
      </c>
      <c r="CD50" s="2752"/>
      <c r="CE50" s="2619"/>
      <c r="CF50" s="2752"/>
      <c r="CG50" s="2619"/>
      <c r="CH50" s="2052"/>
      <c r="CI50" s="2052"/>
      <c r="CJ50" s="2052"/>
      <c r="CK50" s="2054" t="str">
        <f>CL49&amp;"-"&amp;CN49</f>
        <v>46935,6434953704-47118,6437384259</v>
      </c>
      <c r="CL50" s="2752"/>
      <c r="CM50" s="2619"/>
      <c r="CN50" s="2752"/>
      <c r="CO50" s="2619"/>
      <c r="CP50" s="2052"/>
      <c r="CQ50" s="2052"/>
      <c r="CR50" s="2052"/>
      <c r="CS50" s="2054" t="str">
        <f>CT49&amp;"-"&amp;CV49</f>
        <v>47119,6440740741-47299,6442476852</v>
      </c>
      <c r="CT50" s="2752"/>
      <c r="CU50" s="2619"/>
      <c r="CV50" s="2752"/>
      <c r="CW50" s="2619"/>
      <c r="CX50" s="2052"/>
      <c r="CY50" s="2052"/>
      <c r="CZ50" s="2052"/>
      <c r="DA50" s="2054" t="str">
        <f>DB49&amp;"-"&amp;DD49</f>
        <v>47300,6444560185-47483,6447685185</v>
      </c>
      <c r="DB50" s="2752"/>
      <c r="DC50" s="2619"/>
      <c r="DD50" s="2752"/>
      <c r="DE50" s="2619"/>
      <c r="DF50" s="1267"/>
      <c r="DG50" s="2774"/>
      <c r="DI50" s="435"/>
      <c r="DJ50" s="435" t="str">
        <f t="shared" si="1"/>
        <v/>
      </c>
      <c r="DK50" s="435"/>
      <c r="DL50" s="435"/>
      <c r="DM50" s="1073">
        <v>1</v>
      </c>
    </row>
    <row r="51" spans="1:117" ht="11.45" customHeight="1">
      <c r="A51" s="1281" t="s">
        <v>156</v>
      </c>
      <c r="B51" s="1281" t="s">
        <v>157</v>
      </c>
      <c r="C51" s="1281" t="s">
        <v>158</v>
      </c>
      <c r="D51" s="1281" t="s">
        <v>159</v>
      </c>
      <c r="E51" s="2779"/>
      <c r="F51" s="2779"/>
      <c r="G51" s="2779"/>
      <c r="H51" s="2779"/>
      <c r="I51" s="2787"/>
      <c r="J51" s="2776"/>
      <c r="K51" s="1281"/>
      <c r="L51" s="1282"/>
      <c r="P51" s="2777"/>
      <c r="Q51" s="2777"/>
      <c r="R51" s="291"/>
      <c r="S51" s="1196"/>
      <c r="T51" s="224" t="s">
        <v>413</v>
      </c>
      <c r="U51" s="302"/>
      <c r="V51" s="302"/>
      <c r="W51" s="302"/>
      <c r="X51" s="302"/>
      <c r="Y51" s="302"/>
      <c r="Z51" s="302"/>
      <c r="AA51" s="302"/>
      <c r="AB51" s="302"/>
      <c r="AC51" s="302"/>
      <c r="AD51" s="302"/>
      <c r="AE51" s="302"/>
      <c r="AF51" s="302"/>
      <c r="AG51" s="302"/>
      <c r="AH51" s="302"/>
      <c r="AI51" s="302"/>
      <c r="AJ51" s="302"/>
      <c r="AK51" s="302"/>
      <c r="AL51" s="2283"/>
      <c r="AM51" s="2284"/>
      <c r="AN51" s="2285"/>
      <c r="AO51" s="2286"/>
      <c r="AP51" s="2287"/>
      <c r="AQ51" s="2288"/>
      <c r="AR51" s="2289"/>
      <c r="AS51" s="2290"/>
      <c r="AT51" s="2291"/>
      <c r="AU51" s="2292"/>
      <c r="AV51" s="2293"/>
      <c r="AW51" s="2294"/>
      <c r="AX51" s="2295"/>
      <c r="AY51" s="2296"/>
      <c r="AZ51" s="2297"/>
      <c r="BA51" s="2298"/>
      <c r="BB51" s="2299"/>
      <c r="BC51" s="2300"/>
      <c r="BD51" s="2301"/>
      <c r="BE51" s="2302"/>
      <c r="BF51" s="2303"/>
      <c r="BG51" s="2304"/>
      <c r="BH51" s="2305"/>
      <c r="BI51" s="2306"/>
      <c r="BJ51" s="2307"/>
      <c r="BK51" s="2308"/>
      <c r="BL51" s="2309"/>
      <c r="BM51" s="2310"/>
      <c r="BN51" s="2311"/>
      <c r="BO51" s="2312"/>
      <c r="BP51" s="2313"/>
      <c r="BQ51" s="2314"/>
      <c r="BR51" s="2315"/>
      <c r="BS51" s="2316"/>
      <c r="BT51" s="2317"/>
      <c r="BU51" s="2318"/>
      <c r="BV51" s="2319"/>
      <c r="BW51" s="2320"/>
      <c r="BX51" s="2321"/>
      <c r="BY51" s="2322"/>
      <c r="BZ51" s="2323"/>
      <c r="CA51" s="2324"/>
      <c r="CB51" s="2325"/>
      <c r="CC51" s="2326"/>
      <c r="CD51" s="2327"/>
      <c r="CE51" s="2328"/>
      <c r="CF51" s="2329"/>
      <c r="CG51" s="2330"/>
      <c r="CH51" s="2331"/>
      <c r="CI51" s="2332"/>
      <c r="CJ51" s="2333"/>
      <c r="CK51" s="2334"/>
      <c r="CL51" s="2335"/>
      <c r="CM51" s="2336"/>
      <c r="CN51" s="2337"/>
      <c r="CO51" s="2338"/>
      <c r="CP51" s="2339"/>
      <c r="CQ51" s="2340"/>
      <c r="CR51" s="2341"/>
      <c r="CS51" s="2342"/>
      <c r="CT51" s="2343"/>
      <c r="CU51" s="2344"/>
      <c r="CV51" s="2345"/>
      <c r="CW51" s="2346"/>
      <c r="CX51" s="2347"/>
      <c r="CY51" s="2348"/>
      <c r="CZ51" s="2349"/>
      <c r="DA51" s="2350"/>
      <c r="DB51" s="2351"/>
      <c r="DC51" s="2352"/>
      <c r="DD51" s="2353"/>
      <c r="DE51" s="2354"/>
      <c r="DF51" s="260"/>
      <c r="DG51" s="2775"/>
      <c r="DI51" s="435"/>
      <c r="DJ51" s="435" t="str">
        <f t="shared" si="1"/>
        <v>Добавить вид теплоносителя (параметры теплоносителя)</v>
      </c>
      <c r="DK51" s="435"/>
      <c r="DL51" s="435"/>
      <c r="DM51" s="1073">
        <v>11</v>
      </c>
    </row>
    <row r="52" spans="1:117" ht="11.45" customHeight="1">
      <c r="A52" s="1281" t="s">
        <v>156</v>
      </c>
      <c r="B52" s="1281" t="s">
        <v>157</v>
      </c>
      <c r="C52" s="1281" t="s">
        <v>158</v>
      </c>
      <c r="D52" s="1281" t="s">
        <v>159</v>
      </c>
      <c r="E52" s="2779"/>
      <c r="F52" s="2779"/>
      <c r="G52" s="2779"/>
      <c r="H52" s="2779"/>
      <c r="I52" s="2776"/>
      <c r="J52" s="1281"/>
      <c r="K52" s="1281"/>
      <c r="L52" s="1282"/>
      <c r="P52" s="2777"/>
      <c r="Q52" s="1138"/>
      <c r="R52" s="291"/>
      <c r="S52" s="1196"/>
      <c r="T52" s="223" t="s">
        <v>414</v>
      </c>
      <c r="U52" s="302"/>
      <c r="V52" s="302"/>
      <c r="W52" s="302"/>
      <c r="X52" s="302"/>
      <c r="Y52" s="302"/>
      <c r="Z52" s="302"/>
      <c r="AA52" s="302"/>
      <c r="AB52" s="302"/>
      <c r="AC52" s="301"/>
      <c r="AD52" s="302"/>
      <c r="AE52" s="302"/>
      <c r="AF52" s="302"/>
      <c r="AG52" s="302"/>
      <c r="AH52" s="302"/>
      <c r="AI52" s="302"/>
      <c r="AJ52" s="302"/>
      <c r="AK52" s="301"/>
      <c r="AL52" s="2355"/>
      <c r="AM52" s="2356"/>
      <c r="AN52" s="2357"/>
      <c r="AO52" s="2358"/>
      <c r="AP52" s="2359"/>
      <c r="AQ52" s="2360"/>
      <c r="AR52" s="2361"/>
      <c r="AS52" s="2362"/>
      <c r="AT52" s="2363"/>
      <c r="AU52" s="2364"/>
      <c r="AV52" s="2365"/>
      <c r="AW52" s="2366"/>
      <c r="AX52" s="2367"/>
      <c r="AY52" s="2368"/>
      <c r="AZ52" s="2369"/>
      <c r="BA52" s="2370"/>
      <c r="BB52" s="2371"/>
      <c r="BC52" s="2372"/>
      <c r="BD52" s="2373"/>
      <c r="BE52" s="2374"/>
      <c r="BF52" s="2375"/>
      <c r="BG52" s="2376"/>
      <c r="BH52" s="2377"/>
      <c r="BI52" s="2378"/>
      <c r="BJ52" s="2379"/>
      <c r="BK52" s="2380"/>
      <c r="BL52" s="2381"/>
      <c r="BM52" s="2382"/>
      <c r="BN52" s="2383"/>
      <c r="BO52" s="2384"/>
      <c r="BP52" s="2385"/>
      <c r="BQ52" s="2386"/>
      <c r="BR52" s="2387"/>
      <c r="BS52" s="2388"/>
      <c r="BT52" s="2389"/>
      <c r="BU52" s="2390"/>
      <c r="BV52" s="2391"/>
      <c r="BW52" s="2392"/>
      <c r="BX52" s="2393"/>
      <c r="BY52" s="2394"/>
      <c r="BZ52" s="2395"/>
      <c r="CA52" s="2396"/>
      <c r="CB52" s="2397"/>
      <c r="CC52" s="2398"/>
      <c r="CD52" s="2399"/>
      <c r="CE52" s="2400"/>
      <c r="CF52" s="2401"/>
      <c r="CG52" s="2402"/>
      <c r="CH52" s="2403"/>
      <c r="CI52" s="2404"/>
      <c r="CJ52" s="2405"/>
      <c r="CK52" s="2406"/>
      <c r="CL52" s="2407"/>
      <c r="CM52" s="2408"/>
      <c r="CN52" s="2409"/>
      <c r="CO52" s="2410"/>
      <c r="CP52" s="2411"/>
      <c r="CQ52" s="2412"/>
      <c r="CR52" s="2413"/>
      <c r="CS52" s="2414"/>
      <c r="CT52" s="2415"/>
      <c r="CU52" s="2416"/>
      <c r="CV52" s="2417"/>
      <c r="CW52" s="2418"/>
      <c r="CX52" s="2419"/>
      <c r="CY52" s="2420"/>
      <c r="CZ52" s="2421"/>
      <c r="DA52" s="2422"/>
      <c r="DB52" s="2423"/>
      <c r="DC52" s="2424"/>
      <c r="DD52" s="2425"/>
      <c r="DE52" s="2426"/>
      <c r="DF52" s="302"/>
      <c r="DG52" s="239"/>
      <c r="DI52" s="435"/>
      <c r="DJ52" s="435" t="str">
        <f t="shared" si="1"/>
        <v>Добавить группу потребителей</v>
      </c>
      <c r="DK52" s="435"/>
      <c r="DL52" s="435"/>
      <c r="DM52" s="1073">
        <v>11</v>
      </c>
    </row>
    <row r="53" spans="1:117" ht="14.65" customHeight="1">
      <c r="A53" s="1281" t="s">
        <v>156</v>
      </c>
      <c r="B53" s="1281" t="s">
        <v>157</v>
      </c>
      <c r="C53" s="1281" t="s">
        <v>158</v>
      </c>
      <c r="D53" s="1281" t="s">
        <v>159</v>
      </c>
      <c r="E53" s="2779"/>
      <c r="F53" s="2779"/>
      <c r="G53" s="2779"/>
      <c r="H53" s="2778"/>
      <c r="I53" s="1281"/>
      <c r="J53" s="1281"/>
      <c r="K53" s="1281"/>
      <c r="L53" s="1282"/>
      <c r="M53" s="1283"/>
      <c r="N53" s="1283"/>
      <c r="O53" s="472"/>
      <c r="P53" s="295"/>
      <c r="Q53" s="310"/>
      <c r="R53" s="290"/>
      <c r="S53" s="1196"/>
      <c r="T53" s="300" t="s">
        <v>415</v>
      </c>
      <c r="U53" s="302"/>
      <c r="V53" s="302"/>
      <c r="W53" s="302"/>
      <c r="X53" s="302"/>
      <c r="Y53" s="302"/>
      <c r="Z53" s="302"/>
      <c r="AA53" s="302"/>
      <c r="AB53" s="302"/>
      <c r="AC53" s="301"/>
      <c r="AD53" s="302"/>
      <c r="AE53" s="302"/>
      <c r="AF53" s="302"/>
      <c r="AG53" s="302"/>
      <c r="AH53" s="302"/>
      <c r="AI53" s="302"/>
      <c r="AJ53" s="302"/>
      <c r="AK53" s="301"/>
      <c r="AL53" s="2427"/>
      <c r="AM53" s="2428"/>
      <c r="AN53" s="2429"/>
      <c r="AO53" s="2430"/>
      <c r="AP53" s="2431"/>
      <c r="AQ53" s="2432"/>
      <c r="AR53" s="2433"/>
      <c r="AS53" s="2434"/>
      <c r="AT53" s="2435"/>
      <c r="AU53" s="2436"/>
      <c r="AV53" s="2437"/>
      <c r="AW53" s="2438"/>
      <c r="AX53" s="2439"/>
      <c r="AY53" s="2440"/>
      <c r="AZ53" s="2441"/>
      <c r="BA53" s="2442"/>
      <c r="BB53" s="2443"/>
      <c r="BC53" s="2444"/>
      <c r="BD53" s="2445"/>
      <c r="BE53" s="2446"/>
      <c r="BF53" s="2447"/>
      <c r="BG53" s="2448"/>
      <c r="BH53" s="2449"/>
      <c r="BI53" s="2450"/>
      <c r="BJ53" s="2451"/>
      <c r="BK53" s="2452"/>
      <c r="BL53" s="2453"/>
      <c r="BM53" s="2454"/>
      <c r="BN53" s="2455"/>
      <c r="BO53" s="2456"/>
      <c r="BP53" s="2457"/>
      <c r="BQ53" s="2458"/>
      <c r="BR53" s="2459"/>
      <c r="BS53" s="2460"/>
      <c r="BT53" s="2461"/>
      <c r="BU53" s="2462"/>
      <c r="BV53" s="2463"/>
      <c r="BW53" s="2464"/>
      <c r="BX53" s="2465"/>
      <c r="BY53" s="2466"/>
      <c r="BZ53" s="2467"/>
      <c r="CA53" s="2468"/>
      <c r="CB53" s="2469"/>
      <c r="CC53" s="2470"/>
      <c r="CD53" s="2471"/>
      <c r="CE53" s="2472"/>
      <c r="CF53" s="2473"/>
      <c r="CG53" s="2474"/>
      <c r="CH53" s="2475"/>
      <c r="CI53" s="2476"/>
      <c r="CJ53" s="2477"/>
      <c r="CK53" s="2478"/>
      <c r="CL53" s="2479"/>
      <c r="CM53" s="2480"/>
      <c r="CN53" s="2481"/>
      <c r="CO53" s="2482"/>
      <c r="CP53" s="2483"/>
      <c r="CQ53" s="2484"/>
      <c r="CR53" s="2485"/>
      <c r="CS53" s="2486"/>
      <c r="CT53" s="2487"/>
      <c r="CU53" s="2488"/>
      <c r="CV53" s="2489"/>
      <c r="CW53" s="2490"/>
      <c r="CX53" s="2491"/>
      <c r="CY53" s="2492"/>
      <c r="CZ53" s="2493"/>
      <c r="DA53" s="2494"/>
      <c r="DB53" s="2495"/>
      <c r="DC53" s="2496"/>
      <c r="DD53" s="2497"/>
      <c r="DE53" s="2498"/>
      <c r="DF53" s="302"/>
      <c r="DG53" s="239"/>
      <c r="DI53" s="435"/>
      <c r="DJ53" s="435" t="str">
        <f t="shared" si="1"/>
        <v>Добавить схему подключения</v>
      </c>
      <c r="DK53" s="435"/>
      <c r="DL53" s="435"/>
      <c r="DM53" s="1073">
        <v>14</v>
      </c>
    </row>
    <row r="54" spans="1:117" s="2520" customFormat="1" ht="1.1499999999999999" customHeight="1">
      <c r="A54" s="1261" t="s">
        <v>156</v>
      </c>
      <c r="B54" s="1261" t="s">
        <v>157</v>
      </c>
      <c r="C54" s="1261" t="s">
        <v>158</v>
      </c>
      <c r="D54" s="1232"/>
      <c r="E54" s="2779"/>
      <c r="F54" s="2779"/>
      <c r="G54" s="2778"/>
      <c r="H54" s="1232"/>
      <c r="I54" s="1232"/>
      <c r="J54" s="1232"/>
      <c r="K54" s="1232"/>
      <c r="L54" s="1257"/>
      <c r="M54" s="1233"/>
      <c r="N54" s="1233"/>
      <c r="P54" s="1234"/>
      <c r="Q54" s="1235"/>
      <c r="R54" s="1234"/>
      <c r="S54" s="1240"/>
      <c r="T54" s="1243" t="s">
        <v>160</v>
      </c>
      <c r="U54" s="1242"/>
      <c r="V54" s="1242"/>
      <c r="W54" s="1242"/>
      <c r="X54" s="1242"/>
      <c r="Y54" s="1242"/>
      <c r="Z54" s="1242"/>
      <c r="AA54" s="1242"/>
      <c r="AB54" s="1242"/>
      <c r="AC54" s="1242"/>
      <c r="AD54" s="1242"/>
      <c r="AE54" s="1242"/>
      <c r="AF54" s="1242"/>
      <c r="AG54" s="1242"/>
      <c r="AH54" s="1242"/>
      <c r="AI54" s="1242"/>
      <c r="AJ54" s="1242"/>
      <c r="AK54" s="1242"/>
      <c r="AL54" s="2272"/>
      <c r="AM54" s="2272"/>
      <c r="AN54" s="2272"/>
      <c r="AO54" s="2272"/>
      <c r="AP54" s="2272"/>
      <c r="AQ54" s="2272"/>
      <c r="AR54" s="2272"/>
      <c r="AS54" s="2272"/>
      <c r="AT54" s="2272"/>
      <c r="AU54" s="2272"/>
      <c r="AV54" s="2272"/>
      <c r="AW54" s="2272"/>
      <c r="AX54" s="2272"/>
      <c r="AY54" s="2272"/>
      <c r="AZ54" s="2272"/>
      <c r="BA54" s="2272"/>
      <c r="BB54" s="2272"/>
      <c r="BC54" s="2272"/>
      <c r="BD54" s="2272"/>
      <c r="BE54" s="2272"/>
      <c r="BF54" s="2272"/>
      <c r="BG54" s="2272"/>
      <c r="BH54" s="2272"/>
      <c r="BI54" s="2272"/>
      <c r="BJ54" s="2272"/>
      <c r="BK54" s="2272"/>
      <c r="BL54" s="2272"/>
      <c r="BM54" s="2272"/>
      <c r="BN54" s="2272"/>
      <c r="BO54" s="2272"/>
      <c r="BP54" s="2272"/>
      <c r="BQ54" s="2272"/>
      <c r="BR54" s="2272"/>
      <c r="BS54" s="2272"/>
      <c r="BT54" s="2272"/>
      <c r="BU54" s="2272"/>
      <c r="BV54" s="2272"/>
      <c r="BW54" s="2272"/>
      <c r="BX54" s="2272"/>
      <c r="BY54" s="2272"/>
      <c r="BZ54" s="2272"/>
      <c r="CA54" s="2272"/>
      <c r="CB54" s="2272"/>
      <c r="CC54" s="2272"/>
      <c r="CD54" s="2272"/>
      <c r="CE54" s="2272"/>
      <c r="CF54" s="2272"/>
      <c r="CG54" s="2272"/>
      <c r="CH54" s="2272"/>
      <c r="CI54" s="2272"/>
      <c r="CJ54" s="2272"/>
      <c r="CK54" s="2272"/>
      <c r="CL54" s="2272"/>
      <c r="CM54" s="2272"/>
      <c r="CN54" s="2272"/>
      <c r="CO54" s="2272"/>
      <c r="CP54" s="2272"/>
      <c r="CQ54" s="2272"/>
      <c r="CR54" s="2272"/>
      <c r="CS54" s="2272"/>
      <c r="CT54" s="2272"/>
      <c r="CU54" s="2272"/>
      <c r="CV54" s="2272"/>
      <c r="CW54" s="2272"/>
      <c r="CX54" s="2272"/>
      <c r="CY54" s="2272"/>
      <c r="CZ54" s="2272"/>
      <c r="DA54" s="2272"/>
      <c r="DB54" s="2272"/>
      <c r="DC54" s="2272"/>
      <c r="DD54" s="2272"/>
      <c r="DE54" s="2272"/>
      <c r="DF54" s="1242"/>
      <c r="DG54" s="1242"/>
      <c r="DI54" s="718"/>
      <c r="DJ54" s="718" t="str">
        <f t="shared" si="1"/>
        <v>Добавить источник для дифференциации</v>
      </c>
      <c r="DK54" s="718"/>
      <c r="DL54" s="718"/>
      <c r="DM54" s="453">
        <v>1</v>
      </c>
    </row>
    <row r="55" spans="1:117" s="2520" customFormat="1" ht="1.1499999999999999" customHeight="1">
      <c r="A55" s="1261" t="s">
        <v>156</v>
      </c>
      <c r="B55" s="1261" t="s">
        <v>157</v>
      </c>
      <c r="C55" s="1232"/>
      <c r="D55" s="1232"/>
      <c r="E55" s="2779"/>
      <c r="F55" s="2778"/>
      <c r="G55" s="1232"/>
      <c r="H55" s="1232"/>
      <c r="I55" s="1232"/>
      <c r="J55" s="1232"/>
      <c r="K55" s="1232"/>
      <c r="L55" s="1257"/>
      <c r="M55" s="1239"/>
      <c r="N55" s="1239"/>
      <c r="P55" s="1234"/>
      <c r="Q55" s="1235"/>
      <c r="R55" s="1234"/>
      <c r="S55" s="1240"/>
      <c r="T55" s="1243" t="s">
        <v>161</v>
      </c>
      <c r="U55" s="1242"/>
      <c r="V55" s="1242"/>
      <c r="W55" s="1242"/>
      <c r="X55" s="1242"/>
      <c r="Y55" s="1242"/>
      <c r="Z55" s="1242"/>
      <c r="AA55" s="1242"/>
      <c r="AB55" s="1242"/>
      <c r="AC55" s="1242"/>
      <c r="AD55" s="1242"/>
      <c r="AE55" s="1242"/>
      <c r="AF55" s="1242"/>
      <c r="AG55" s="1242"/>
      <c r="AH55" s="1242"/>
      <c r="AI55" s="1242"/>
      <c r="AJ55" s="1242"/>
      <c r="AK55" s="1242"/>
      <c r="AL55" s="2272"/>
      <c r="AM55" s="2272"/>
      <c r="AN55" s="2272"/>
      <c r="AO55" s="2272"/>
      <c r="AP55" s="2272"/>
      <c r="AQ55" s="2272"/>
      <c r="AR55" s="2272"/>
      <c r="AS55" s="2272"/>
      <c r="AT55" s="2272"/>
      <c r="AU55" s="2272"/>
      <c r="AV55" s="2272"/>
      <c r="AW55" s="2272"/>
      <c r="AX55" s="2272"/>
      <c r="AY55" s="2272"/>
      <c r="AZ55" s="2272"/>
      <c r="BA55" s="2272"/>
      <c r="BB55" s="2272"/>
      <c r="BC55" s="2272"/>
      <c r="BD55" s="2272"/>
      <c r="BE55" s="2272"/>
      <c r="BF55" s="2272"/>
      <c r="BG55" s="2272"/>
      <c r="BH55" s="2272"/>
      <c r="BI55" s="2272"/>
      <c r="BJ55" s="2272"/>
      <c r="BK55" s="2272"/>
      <c r="BL55" s="2272"/>
      <c r="BM55" s="2272"/>
      <c r="BN55" s="2272"/>
      <c r="BO55" s="2272"/>
      <c r="BP55" s="2272"/>
      <c r="BQ55" s="2272"/>
      <c r="BR55" s="2272"/>
      <c r="BS55" s="2272"/>
      <c r="BT55" s="2272"/>
      <c r="BU55" s="2272"/>
      <c r="BV55" s="2272"/>
      <c r="BW55" s="2272"/>
      <c r="BX55" s="2272"/>
      <c r="BY55" s="2272"/>
      <c r="BZ55" s="2272"/>
      <c r="CA55" s="2272"/>
      <c r="CB55" s="2272"/>
      <c r="CC55" s="2272"/>
      <c r="CD55" s="2272"/>
      <c r="CE55" s="2272"/>
      <c r="CF55" s="2272"/>
      <c r="CG55" s="2272"/>
      <c r="CH55" s="2272"/>
      <c r="CI55" s="2272"/>
      <c r="CJ55" s="2272"/>
      <c r="CK55" s="2272"/>
      <c r="CL55" s="2272"/>
      <c r="CM55" s="2272"/>
      <c r="CN55" s="2272"/>
      <c r="CO55" s="2272"/>
      <c r="CP55" s="2272"/>
      <c r="CQ55" s="2272"/>
      <c r="CR55" s="2272"/>
      <c r="CS55" s="2272"/>
      <c r="CT55" s="2272"/>
      <c r="CU55" s="2272"/>
      <c r="CV55" s="2272"/>
      <c r="CW55" s="2272"/>
      <c r="CX55" s="2272"/>
      <c r="CY55" s="2272"/>
      <c r="CZ55" s="2272"/>
      <c r="DA55" s="2272"/>
      <c r="DB55" s="2272"/>
      <c r="DC55" s="2272"/>
      <c r="DD55" s="2272"/>
      <c r="DE55" s="2272"/>
      <c r="DF55" s="1242"/>
      <c r="DG55" s="1242"/>
      <c r="DI55" s="718"/>
      <c r="DJ55" s="718" t="str">
        <f t="shared" si="1"/>
        <v>Добавить централизованную систему для дифференциации</v>
      </c>
      <c r="DK55" s="718"/>
      <c r="DL55" s="718"/>
      <c r="DM55" s="453">
        <v>1</v>
      </c>
    </row>
    <row r="56" spans="1:117" s="2520" customFormat="1" ht="1.1499999999999999" customHeight="1">
      <c r="A56" s="1261" t="s">
        <v>156</v>
      </c>
      <c r="B56" s="1261"/>
      <c r="C56" s="1261"/>
      <c r="D56" s="1261"/>
      <c r="E56" s="2778"/>
      <c r="F56" s="1261"/>
      <c r="G56" s="1261"/>
      <c r="H56" s="1261"/>
      <c r="I56" s="1261"/>
      <c r="J56" s="1261"/>
      <c r="K56" s="1261"/>
      <c r="L56" s="1264"/>
      <c r="M56" s="1239"/>
      <c r="N56" s="1239"/>
      <c r="O56" s="453"/>
      <c r="P56" s="315"/>
      <c r="Q56" s="1262"/>
      <c r="R56" s="315"/>
      <c r="S56" s="1240"/>
      <c r="T56" s="1243" t="s">
        <v>162</v>
      </c>
      <c r="U56" s="1242"/>
      <c r="V56" s="1242"/>
      <c r="W56" s="1242"/>
      <c r="X56" s="1242"/>
      <c r="Y56" s="1242"/>
      <c r="Z56" s="1242"/>
      <c r="AA56" s="1242"/>
      <c r="AB56" s="1242"/>
      <c r="AC56" s="1242"/>
      <c r="AD56" s="1242"/>
      <c r="AE56" s="1242"/>
      <c r="AF56" s="1242"/>
      <c r="AG56" s="1242"/>
      <c r="AH56" s="1242"/>
      <c r="AI56" s="1242"/>
      <c r="AJ56" s="1242"/>
      <c r="AK56" s="1242"/>
      <c r="AL56" s="2272"/>
      <c r="AM56" s="2272"/>
      <c r="AN56" s="2272"/>
      <c r="AO56" s="2272"/>
      <c r="AP56" s="2272"/>
      <c r="AQ56" s="2272"/>
      <c r="AR56" s="2272"/>
      <c r="AS56" s="2272"/>
      <c r="AT56" s="2272"/>
      <c r="AU56" s="2272"/>
      <c r="AV56" s="2272"/>
      <c r="AW56" s="2272"/>
      <c r="AX56" s="2272"/>
      <c r="AY56" s="2272"/>
      <c r="AZ56" s="2272"/>
      <c r="BA56" s="2272"/>
      <c r="BB56" s="2272"/>
      <c r="BC56" s="2272"/>
      <c r="BD56" s="2272"/>
      <c r="BE56" s="2272"/>
      <c r="BF56" s="2272"/>
      <c r="BG56" s="2272"/>
      <c r="BH56" s="2272"/>
      <c r="BI56" s="2272"/>
      <c r="BJ56" s="2272"/>
      <c r="BK56" s="2272"/>
      <c r="BL56" s="2272"/>
      <c r="BM56" s="2272"/>
      <c r="BN56" s="2272"/>
      <c r="BO56" s="2272"/>
      <c r="BP56" s="2272"/>
      <c r="BQ56" s="2272"/>
      <c r="BR56" s="2272"/>
      <c r="BS56" s="2272"/>
      <c r="BT56" s="2272"/>
      <c r="BU56" s="2272"/>
      <c r="BV56" s="2272"/>
      <c r="BW56" s="2272"/>
      <c r="BX56" s="2272"/>
      <c r="BY56" s="2272"/>
      <c r="BZ56" s="2272"/>
      <c r="CA56" s="2272"/>
      <c r="CB56" s="2272"/>
      <c r="CC56" s="2272"/>
      <c r="CD56" s="2272"/>
      <c r="CE56" s="2272"/>
      <c r="CF56" s="2272"/>
      <c r="CG56" s="2272"/>
      <c r="CH56" s="2272"/>
      <c r="CI56" s="2272"/>
      <c r="CJ56" s="2272"/>
      <c r="CK56" s="2272"/>
      <c r="CL56" s="2272"/>
      <c r="CM56" s="2272"/>
      <c r="CN56" s="2272"/>
      <c r="CO56" s="2272"/>
      <c r="CP56" s="2272"/>
      <c r="CQ56" s="2272"/>
      <c r="CR56" s="2272"/>
      <c r="CS56" s="2272"/>
      <c r="CT56" s="2272"/>
      <c r="CU56" s="2272"/>
      <c r="CV56" s="2272"/>
      <c r="CW56" s="2272"/>
      <c r="CX56" s="2272"/>
      <c r="CY56" s="2272"/>
      <c r="CZ56" s="2272"/>
      <c r="DA56" s="2272"/>
      <c r="DB56" s="2272"/>
      <c r="DC56" s="2272"/>
      <c r="DD56" s="2272"/>
      <c r="DE56" s="2272"/>
      <c r="DF56" s="1242"/>
      <c r="DG56" s="1242"/>
      <c r="DI56" s="435"/>
      <c r="DJ56" s="435" t="str">
        <f t="shared" si="1"/>
        <v>Добавить территорию для дифференциации</v>
      </c>
      <c r="DK56" s="435"/>
      <c r="DL56" s="435"/>
      <c r="DM56" s="446">
        <v>1</v>
      </c>
    </row>
    <row r="57" spans="1:117" s="2520"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163</v>
      </c>
      <c r="U57" s="1242"/>
      <c r="V57" s="1242"/>
      <c r="W57" s="1242"/>
      <c r="X57" s="1242"/>
      <c r="Y57" s="1242"/>
      <c r="Z57" s="1242"/>
      <c r="AA57" s="1242"/>
      <c r="AB57" s="1242"/>
      <c r="AC57" s="1242"/>
      <c r="AD57" s="1242"/>
      <c r="AE57" s="1242"/>
      <c r="AF57" s="1242"/>
      <c r="AG57" s="1242"/>
      <c r="AH57" s="1242"/>
      <c r="AI57" s="1242"/>
      <c r="AJ57" s="1242"/>
      <c r="AK57" s="1242"/>
      <c r="AL57" s="2272"/>
      <c r="AM57" s="2272"/>
      <c r="AN57" s="2272"/>
      <c r="AO57" s="2272"/>
      <c r="AP57" s="2272"/>
      <c r="AQ57" s="2272"/>
      <c r="AR57" s="2272"/>
      <c r="AS57" s="2272"/>
      <c r="AT57" s="2272"/>
      <c r="AU57" s="2272"/>
      <c r="AV57" s="2272"/>
      <c r="AW57" s="2272"/>
      <c r="AX57" s="2272"/>
      <c r="AY57" s="2272"/>
      <c r="AZ57" s="2272"/>
      <c r="BA57" s="2272"/>
      <c r="BB57" s="2272"/>
      <c r="BC57" s="2272"/>
      <c r="BD57" s="2272"/>
      <c r="BE57" s="2272"/>
      <c r="BF57" s="2272"/>
      <c r="BG57" s="2272"/>
      <c r="BH57" s="2272"/>
      <c r="BI57" s="2272"/>
      <c r="BJ57" s="2272"/>
      <c r="BK57" s="2272"/>
      <c r="BL57" s="2272"/>
      <c r="BM57" s="2272"/>
      <c r="BN57" s="2272"/>
      <c r="BO57" s="2272"/>
      <c r="BP57" s="2272"/>
      <c r="BQ57" s="2272"/>
      <c r="BR57" s="2272"/>
      <c r="BS57" s="2272"/>
      <c r="BT57" s="2272"/>
      <c r="BU57" s="2272"/>
      <c r="BV57" s="2272"/>
      <c r="BW57" s="2272"/>
      <c r="BX57" s="2272"/>
      <c r="BY57" s="2272"/>
      <c r="BZ57" s="2272"/>
      <c r="CA57" s="2272"/>
      <c r="CB57" s="2272"/>
      <c r="CC57" s="2272"/>
      <c r="CD57" s="2272"/>
      <c r="CE57" s="2272"/>
      <c r="CF57" s="2272"/>
      <c r="CG57" s="2272"/>
      <c r="CH57" s="2272"/>
      <c r="CI57" s="2272"/>
      <c r="CJ57" s="2272"/>
      <c r="CK57" s="2272"/>
      <c r="CL57" s="2272"/>
      <c r="CM57" s="2272"/>
      <c r="CN57" s="2272"/>
      <c r="CO57" s="2272"/>
      <c r="CP57" s="2272"/>
      <c r="CQ57" s="2272"/>
      <c r="CR57" s="2272"/>
      <c r="CS57" s="2272"/>
      <c r="CT57" s="2272"/>
      <c r="CU57" s="2272"/>
      <c r="CV57" s="2272"/>
      <c r="CW57" s="2272"/>
      <c r="CX57" s="2272"/>
      <c r="CY57" s="2272"/>
      <c r="CZ57" s="2272"/>
      <c r="DA57" s="2272"/>
      <c r="DB57" s="2272"/>
      <c r="DC57" s="2272"/>
      <c r="DD57" s="2272"/>
      <c r="DE57" s="2272"/>
      <c r="DF57" s="1242"/>
      <c r="DG57" s="1242"/>
      <c r="DI57" s="718"/>
      <c r="DJ57" s="718" t="str">
        <f t="shared" si="1"/>
        <v>Добавить наименование тарифа</v>
      </c>
      <c r="DK57" s="718"/>
      <c r="DL57" s="718"/>
      <c r="DM57" s="453">
        <v>1</v>
      </c>
    </row>
    <row r="58" spans="1:117" ht="11.45" customHeight="1">
      <c r="M58" s="1078"/>
      <c r="N58" s="1078"/>
      <c r="O58" s="472"/>
      <c r="P58" s="1073"/>
      <c r="Q58" s="1073"/>
      <c r="R58" s="1073"/>
      <c r="S58" s="1073"/>
      <c r="AL58" s="2050"/>
      <c r="AM58" s="2050"/>
      <c r="AN58" s="2050"/>
      <c r="AO58" s="2050"/>
      <c r="AP58" s="2050"/>
      <c r="AQ58" s="2050"/>
      <c r="AR58" s="2050"/>
      <c r="AS58" s="2050"/>
      <c r="AT58" s="2050"/>
      <c r="AU58" s="2050"/>
      <c r="AV58" s="2050"/>
      <c r="AW58" s="2050"/>
      <c r="AX58" s="2050"/>
      <c r="AY58" s="2050"/>
      <c r="AZ58" s="2050"/>
      <c r="BA58" s="2050"/>
      <c r="BB58" s="2050"/>
      <c r="BC58" s="2050"/>
      <c r="BD58" s="2050"/>
      <c r="BE58" s="2050"/>
      <c r="BF58" s="2050"/>
      <c r="BG58" s="2050"/>
      <c r="BH58" s="2050"/>
      <c r="BI58" s="2050"/>
      <c r="BJ58" s="2050"/>
      <c r="BK58" s="2050"/>
      <c r="BL58" s="2050"/>
      <c r="BM58" s="2050"/>
      <c r="BN58" s="2050"/>
      <c r="BO58" s="2050"/>
      <c r="BP58" s="2050"/>
      <c r="BQ58" s="2050"/>
      <c r="BR58" s="2050"/>
      <c r="BS58" s="2050"/>
      <c r="BT58" s="2050"/>
      <c r="BU58" s="2050"/>
      <c r="BV58" s="2050"/>
      <c r="BW58" s="2050"/>
      <c r="BX58" s="2050"/>
      <c r="BY58" s="2050"/>
      <c r="BZ58" s="2050"/>
      <c r="CA58" s="2050"/>
      <c r="CB58" s="2050"/>
      <c r="CC58" s="2050"/>
      <c r="CD58" s="2050"/>
      <c r="CE58" s="2050"/>
      <c r="CF58" s="2050"/>
      <c r="CG58" s="2050"/>
      <c r="CH58" s="2050"/>
      <c r="CI58" s="2050"/>
      <c r="CJ58" s="2050"/>
      <c r="CK58" s="2050"/>
      <c r="CL58" s="2050"/>
      <c r="CM58" s="2050"/>
      <c r="CN58" s="2050"/>
      <c r="CO58" s="2050"/>
      <c r="CP58" s="2050"/>
      <c r="CQ58" s="2050"/>
      <c r="CR58" s="2050"/>
      <c r="CS58" s="2050"/>
      <c r="CT58" s="2050"/>
      <c r="CU58" s="2050"/>
      <c r="CV58" s="2050"/>
      <c r="CW58" s="2050"/>
      <c r="CX58" s="2050"/>
      <c r="CY58" s="2050"/>
      <c r="CZ58" s="2050"/>
      <c r="DA58" s="2050"/>
      <c r="DB58" s="2050"/>
      <c r="DC58" s="2050"/>
      <c r="DD58" s="2050"/>
      <c r="DE58" s="2050"/>
      <c r="DH58" s="1073"/>
      <c r="DI58" s="1073"/>
      <c r="DJ58" s="1073"/>
      <c r="DK58" s="1073"/>
      <c r="DL58" s="1073"/>
      <c r="DM58" s="1073">
        <v>11</v>
      </c>
    </row>
    <row r="59" spans="1:117" ht="28.5" customHeight="1">
      <c r="O59" s="472"/>
      <c r="S59" s="1171"/>
      <c r="T59" s="2786"/>
      <c r="U59" s="2786"/>
      <c r="V59" s="2786"/>
      <c r="W59" s="2786"/>
      <c r="X59" s="2786"/>
      <c r="Y59" s="2786"/>
      <c r="Z59" s="2786"/>
      <c r="AA59" s="2786"/>
      <c r="AB59" s="2786"/>
      <c r="AC59" s="2786"/>
      <c r="AD59" s="2786"/>
      <c r="AE59" s="2786"/>
      <c r="AF59" s="2786"/>
      <c r="AG59" s="2786"/>
      <c r="AH59" s="2786"/>
      <c r="AI59" s="2786"/>
      <c r="AJ59" s="2786"/>
      <c r="AK59" s="2786"/>
      <c r="AL59" s="2786"/>
      <c r="AM59" s="2786"/>
      <c r="AN59" s="2786"/>
      <c r="AO59" s="2786"/>
      <c r="AP59" s="2786"/>
      <c r="AQ59" s="2786"/>
      <c r="AR59" s="2786"/>
      <c r="AS59" s="2786"/>
      <c r="AT59" s="2786"/>
      <c r="AU59" s="2786"/>
      <c r="AV59" s="2786"/>
      <c r="AW59" s="2786"/>
      <c r="AX59" s="2786"/>
      <c r="AY59" s="2786"/>
      <c r="AZ59" s="2786"/>
      <c r="BA59" s="2786"/>
      <c r="BB59" s="2786"/>
      <c r="BC59" s="2786"/>
      <c r="BD59" s="2786"/>
      <c r="BE59" s="2786"/>
      <c r="BF59" s="2786"/>
      <c r="BG59" s="2786"/>
      <c r="BH59" s="2786"/>
      <c r="BI59" s="2786"/>
      <c r="BJ59" s="2786"/>
      <c r="BK59" s="2786"/>
      <c r="BL59" s="2786"/>
      <c r="BM59" s="2786"/>
      <c r="BN59" s="2786"/>
      <c r="BO59" s="2786"/>
      <c r="BP59" s="2786"/>
      <c r="BQ59" s="2786"/>
      <c r="BR59" s="2786"/>
      <c r="BS59" s="2786"/>
      <c r="BT59" s="2786"/>
      <c r="BU59" s="2786"/>
      <c r="BV59" s="2786"/>
      <c r="BW59" s="2786"/>
      <c r="BX59" s="2786"/>
      <c r="BY59" s="2786"/>
      <c r="BZ59" s="2786"/>
      <c r="CA59" s="2786"/>
      <c r="CB59" s="2786"/>
      <c r="CC59" s="2786"/>
      <c r="CD59" s="2786"/>
      <c r="CE59" s="2786"/>
      <c r="CF59" s="2786"/>
      <c r="CG59" s="2786"/>
      <c r="CH59" s="2786"/>
      <c r="CI59" s="2786"/>
      <c r="CJ59" s="2786"/>
      <c r="CK59" s="2786"/>
      <c r="CL59" s="2786"/>
      <c r="CM59" s="2786"/>
      <c r="CN59" s="2786"/>
      <c r="CO59" s="2786"/>
      <c r="CP59" s="2786"/>
      <c r="CQ59" s="2786"/>
      <c r="CR59" s="2786"/>
      <c r="CS59" s="2786"/>
      <c r="CT59" s="2786"/>
      <c r="CU59" s="2786"/>
      <c r="CV59" s="2786"/>
      <c r="CW59" s="2786"/>
      <c r="CX59" s="2786"/>
      <c r="CY59" s="2786"/>
      <c r="CZ59" s="2786"/>
      <c r="DA59" s="2786"/>
      <c r="DB59" s="2786"/>
      <c r="DC59" s="2786"/>
      <c r="DD59" s="2786"/>
      <c r="DE59" s="2786"/>
      <c r="DF59" s="2786"/>
      <c r="DG59" s="2786"/>
      <c r="DM59" s="1073">
        <v>27</v>
      </c>
    </row>
    <row r="60" spans="1:117" ht="67.150000000000006" customHeight="1">
      <c r="O60" s="472"/>
      <c r="P60" s="1221"/>
      <c r="T60" s="2786"/>
      <c r="U60" s="2786"/>
      <c r="V60" s="2786"/>
      <c r="W60" s="2786"/>
      <c r="X60" s="2786"/>
      <c r="Y60" s="2786"/>
      <c r="Z60" s="2786"/>
      <c r="AA60" s="2786"/>
      <c r="AB60" s="2786"/>
      <c r="AC60" s="2786"/>
      <c r="AD60" s="2786"/>
      <c r="AE60" s="2786"/>
      <c r="AF60" s="2786"/>
      <c r="AG60" s="2786"/>
      <c r="AH60" s="2786"/>
      <c r="AI60" s="2786"/>
      <c r="AJ60" s="2786"/>
      <c r="AK60" s="2786"/>
      <c r="AL60" s="2786"/>
      <c r="AM60" s="2786"/>
      <c r="AN60" s="2786"/>
      <c r="AO60" s="2786"/>
      <c r="AP60" s="2786"/>
      <c r="AQ60" s="2786"/>
      <c r="AR60" s="2786"/>
      <c r="AS60" s="2786"/>
      <c r="AT60" s="2786"/>
      <c r="AU60" s="2786"/>
      <c r="AV60" s="2786"/>
      <c r="AW60" s="2786"/>
      <c r="AX60" s="2786"/>
      <c r="AY60" s="2786"/>
      <c r="AZ60" s="2786"/>
      <c r="BA60" s="2786"/>
      <c r="BB60" s="2786"/>
      <c r="BC60" s="2786"/>
      <c r="BD60" s="2786"/>
      <c r="BE60" s="2786"/>
      <c r="BF60" s="2786"/>
      <c r="BG60" s="2786"/>
      <c r="BH60" s="2786"/>
      <c r="BI60" s="2786"/>
      <c r="BJ60" s="2786"/>
      <c r="BK60" s="2786"/>
      <c r="BL60" s="2786"/>
      <c r="BM60" s="2786"/>
      <c r="BN60" s="2786"/>
      <c r="BO60" s="2786"/>
      <c r="BP60" s="2786"/>
      <c r="BQ60" s="2786"/>
      <c r="BR60" s="2786"/>
      <c r="BS60" s="2786"/>
      <c r="BT60" s="2786"/>
      <c r="BU60" s="2786"/>
      <c r="BV60" s="2786"/>
      <c r="BW60" s="2786"/>
      <c r="BX60" s="2786"/>
      <c r="BY60" s="2786"/>
      <c r="BZ60" s="2786"/>
      <c r="CA60" s="2786"/>
      <c r="CB60" s="2786"/>
      <c r="CC60" s="2786"/>
      <c r="CD60" s="2786"/>
      <c r="CE60" s="2786"/>
      <c r="CF60" s="2786"/>
      <c r="CG60" s="2786"/>
      <c r="CH60" s="2786"/>
      <c r="CI60" s="2786"/>
      <c r="CJ60" s="2786"/>
      <c r="CK60" s="2786"/>
      <c r="CL60" s="2786"/>
      <c r="CM60" s="2786"/>
      <c r="CN60" s="2786"/>
      <c r="CO60" s="2786"/>
      <c r="CP60" s="2786"/>
      <c r="CQ60" s="2786"/>
      <c r="CR60" s="2786"/>
      <c r="CS60" s="2786"/>
      <c r="CT60" s="2786"/>
      <c r="CU60" s="2786"/>
      <c r="CV60" s="2786"/>
      <c r="CW60" s="2786"/>
      <c r="CX60" s="2786"/>
      <c r="CY60" s="2786"/>
      <c r="CZ60" s="2786"/>
      <c r="DA60" s="2786"/>
      <c r="DB60" s="2786"/>
      <c r="DC60" s="2786"/>
      <c r="DD60" s="2786"/>
      <c r="DE60" s="2786"/>
      <c r="DF60" s="2786"/>
      <c r="DG60" s="2786"/>
      <c r="DM60" s="1073">
        <v>64</v>
      </c>
    </row>
    <row r="61" spans="1:117" ht="14.65" customHeight="1">
      <c r="O61" s="472"/>
      <c r="AL61" s="2050"/>
      <c r="AM61" s="2050"/>
      <c r="AN61" s="2050"/>
      <c r="AO61" s="2050"/>
      <c r="AP61" s="2050"/>
      <c r="AQ61" s="2050"/>
      <c r="AR61" s="2050"/>
      <c r="AS61" s="2050"/>
      <c r="AT61" s="2050"/>
      <c r="AU61" s="2050"/>
      <c r="AV61" s="2050"/>
      <c r="AW61" s="2050"/>
      <c r="AX61" s="2050"/>
      <c r="AY61" s="2050"/>
      <c r="AZ61" s="2050"/>
      <c r="BA61" s="2050"/>
      <c r="BB61" s="2050"/>
      <c r="BC61" s="2050"/>
      <c r="BD61" s="2050"/>
      <c r="BE61" s="2050"/>
      <c r="BF61" s="2050"/>
      <c r="BG61" s="2050"/>
      <c r="BH61" s="2050"/>
      <c r="BI61" s="2050"/>
      <c r="BJ61" s="2050"/>
      <c r="BK61" s="2050"/>
      <c r="BL61" s="2050"/>
      <c r="BM61" s="2050"/>
      <c r="BN61" s="2050"/>
      <c r="BO61" s="2050"/>
      <c r="BP61" s="2050"/>
      <c r="BQ61" s="2050"/>
      <c r="BR61" s="2050"/>
      <c r="BS61" s="2050"/>
      <c r="BT61" s="2050"/>
      <c r="BU61" s="2050"/>
      <c r="BV61" s="2050"/>
      <c r="BW61" s="2050"/>
      <c r="BX61" s="2050"/>
      <c r="BY61" s="2050"/>
      <c r="BZ61" s="2050"/>
      <c r="CA61" s="2050"/>
      <c r="CB61" s="2050"/>
      <c r="CC61" s="2050"/>
      <c r="CD61" s="2050"/>
      <c r="CE61" s="2050"/>
      <c r="CF61" s="2050"/>
      <c r="CG61" s="2050"/>
      <c r="CH61" s="2050"/>
      <c r="CI61" s="2050"/>
      <c r="CJ61" s="2050"/>
      <c r="CK61" s="2050"/>
      <c r="CL61" s="2050"/>
      <c r="CM61" s="2050"/>
      <c r="CN61" s="2050"/>
      <c r="CO61" s="2050"/>
      <c r="CP61" s="2050"/>
      <c r="CQ61" s="2050"/>
      <c r="CR61" s="2050"/>
      <c r="CS61" s="2050"/>
      <c r="CT61" s="2050"/>
      <c r="CU61" s="2050"/>
      <c r="CV61" s="2050"/>
      <c r="CW61" s="2050"/>
      <c r="CX61" s="2050"/>
      <c r="CY61" s="2050"/>
      <c r="CZ61" s="2050"/>
      <c r="DA61" s="2050"/>
      <c r="DB61" s="2050"/>
      <c r="DC61" s="2050"/>
      <c r="DD61" s="2050"/>
      <c r="DE61" s="2050"/>
      <c r="DM61" s="1073">
        <v>14</v>
      </c>
    </row>
    <row r="62" spans="1:117" ht="18.75" customHeight="1">
      <c r="O62" s="472"/>
      <c r="P62" s="1246"/>
      <c r="S62" s="1171"/>
      <c r="T62" s="2786"/>
      <c r="U62" s="2786"/>
      <c r="V62" s="2786"/>
      <c r="W62" s="2786"/>
      <c r="X62" s="2786"/>
      <c r="Y62" s="2786"/>
      <c r="Z62" s="2786"/>
      <c r="AA62" s="2786"/>
      <c r="AB62" s="2786"/>
      <c r="AC62" s="2786"/>
      <c r="AD62" s="2786"/>
      <c r="AE62" s="2786"/>
      <c r="AF62" s="2786"/>
      <c r="AG62" s="2786"/>
      <c r="AH62" s="2786"/>
      <c r="AI62" s="2786"/>
      <c r="AJ62" s="2786"/>
      <c r="AK62" s="2786"/>
      <c r="AL62" s="2786"/>
      <c r="AM62" s="2786"/>
      <c r="AN62" s="2786"/>
      <c r="AO62" s="2786"/>
      <c r="AP62" s="2786"/>
      <c r="AQ62" s="2786"/>
      <c r="AR62" s="2786"/>
      <c r="AS62" s="2786"/>
      <c r="AT62" s="2786"/>
      <c r="AU62" s="2786"/>
      <c r="AV62" s="2786"/>
      <c r="AW62" s="2786"/>
      <c r="AX62" s="2786"/>
      <c r="AY62" s="2786"/>
      <c r="AZ62" s="2786"/>
      <c r="BA62" s="2786"/>
      <c r="BB62" s="2786"/>
      <c r="BC62" s="2786"/>
      <c r="BD62" s="2786"/>
      <c r="BE62" s="2786"/>
      <c r="BF62" s="2786"/>
      <c r="BG62" s="2786"/>
      <c r="BH62" s="2786"/>
      <c r="BI62" s="2786"/>
      <c r="BJ62" s="2786"/>
      <c r="BK62" s="2786"/>
      <c r="BL62" s="2786"/>
      <c r="BM62" s="2786"/>
      <c r="BN62" s="2786"/>
      <c r="BO62" s="2786"/>
      <c r="BP62" s="2786"/>
      <c r="BQ62" s="2786"/>
      <c r="BR62" s="2786"/>
      <c r="BS62" s="2786"/>
      <c r="BT62" s="2786"/>
      <c r="BU62" s="2786"/>
      <c r="BV62" s="2786"/>
      <c r="BW62" s="2786"/>
      <c r="BX62" s="2786"/>
      <c r="BY62" s="2786"/>
      <c r="BZ62" s="2786"/>
      <c r="CA62" s="2786"/>
      <c r="CB62" s="2786"/>
      <c r="CC62" s="2786"/>
      <c r="CD62" s="2786"/>
      <c r="CE62" s="2786"/>
      <c r="CF62" s="2786"/>
      <c r="CG62" s="2786"/>
      <c r="CH62" s="2786"/>
      <c r="CI62" s="2786"/>
      <c r="CJ62" s="2786"/>
      <c r="CK62" s="2786"/>
      <c r="CL62" s="2786"/>
      <c r="CM62" s="2786"/>
      <c r="CN62" s="2786"/>
      <c r="CO62" s="2786"/>
      <c r="CP62" s="2786"/>
      <c r="CQ62" s="2786"/>
      <c r="CR62" s="2786"/>
      <c r="CS62" s="2786"/>
      <c r="CT62" s="2786"/>
      <c r="CU62" s="2786"/>
      <c r="CV62" s="2786"/>
      <c r="CW62" s="2786"/>
      <c r="CX62" s="2786"/>
      <c r="CY62" s="2786"/>
      <c r="CZ62" s="2786"/>
      <c r="DA62" s="2786"/>
      <c r="DB62" s="2786"/>
      <c r="DC62" s="2786"/>
      <c r="DD62" s="2786"/>
      <c r="DE62" s="2786"/>
      <c r="DF62" s="2786"/>
      <c r="DG62" s="2786"/>
      <c r="DM62" s="1073">
        <v>18</v>
      </c>
    </row>
    <row r="63" spans="1:117" ht="18.75" customHeight="1">
      <c r="O63" s="472"/>
      <c r="P63" s="1246"/>
      <c r="T63" s="2786"/>
      <c r="U63" s="2786"/>
      <c r="V63" s="2786"/>
      <c r="W63" s="2786"/>
      <c r="X63" s="2786"/>
      <c r="Y63" s="2786"/>
      <c r="Z63" s="2786"/>
      <c r="AA63" s="2786"/>
      <c r="AB63" s="2786"/>
      <c r="AC63" s="2786"/>
      <c r="AD63" s="2786"/>
      <c r="AE63" s="2786"/>
      <c r="AF63" s="2786"/>
      <c r="AG63" s="2786"/>
      <c r="AH63" s="2786"/>
      <c r="AI63" s="2786"/>
      <c r="AJ63" s="2786"/>
      <c r="AK63" s="2786"/>
      <c r="AL63" s="2786"/>
      <c r="AM63" s="2786"/>
      <c r="AN63" s="2786"/>
      <c r="AO63" s="2786"/>
      <c r="AP63" s="2786"/>
      <c r="AQ63" s="2786"/>
      <c r="AR63" s="2786"/>
      <c r="AS63" s="2786"/>
      <c r="AT63" s="2786"/>
      <c r="AU63" s="2786"/>
      <c r="AV63" s="2786"/>
      <c r="AW63" s="2786"/>
      <c r="AX63" s="2786"/>
      <c r="AY63" s="2786"/>
      <c r="AZ63" s="2786"/>
      <c r="BA63" s="2786"/>
      <c r="BB63" s="2786"/>
      <c r="BC63" s="2786"/>
      <c r="BD63" s="2786"/>
      <c r="BE63" s="2786"/>
      <c r="BF63" s="2786"/>
      <c r="BG63" s="2786"/>
      <c r="BH63" s="2786"/>
      <c r="BI63" s="2786"/>
      <c r="BJ63" s="2786"/>
      <c r="BK63" s="2786"/>
      <c r="BL63" s="2786"/>
      <c r="BM63" s="2786"/>
      <c r="BN63" s="2786"/>
      <c r="BO63" s="2786"/>
      <c r="BP63" s="2786"/>
      <c r="BQ63" s="2786"/>
      <c r="BR63" s="2786"/>
      <c r="BS63" s="2786"/>
      <c r="BT63" s="2786"/>
      <c r="BU63" s="2786"/>
      <c r="BV63" s="2786"/>
      <c r="BW63" s="2786"/>
      <c r="BX63" s="2786"/>
      <c r="BY63" s="2786"/>
      <c r="BZ63" s="2786"/>
      <c r="CA63" s="2786"/>
      <c r="CB63" s="2786"/>
      <c r="CC63" s="2786"/>
      <c r="CD63" s="2786"/>
      <c r="CE63" s="2786"/>
      <c r="CF63" s="2786"/>
      <c r="CG63" s="2786"/>
      <c r="CH63" s="2786"/>
      <c r="CI63" s="2786"/>
      <c r="CJ63" s="2786"/>
      <c r="CK63" s="2786"/>
      <c r="CL63" s="2786"/>
      <c r="CM63" s="2786"/>
      <c r="CN63" s="2786"/>
      <c r="CO63" s="2786"/>
      <c r="CP63" s="2786"/>
      <c r="CQ63" s="2786"/>
      <c r="CR63" s="2786"/>
      <c r="CS63" s="2786"/>
      <c r="CT63" s="2786"/>
      <c r="CU63" s="2786"/>
      <c r="CV63" s="2786"/>
      <c r="CW63" s="2786"/>
      <c r="CX63" s="2786"/>
      <c r="CY63" s="2786"/>
      <c r="CZ63" s="2786"/>
      <c r="DA63" s="2786"/>
      <c r="DB63" s="2786"/>
      <c r="DC63" s="2786"/>
      <c r="DD63" s="2786"/>
      <c r="DE63" s="2786"/>
      <c r="DF63" s="2786"/>
      <c r="DG63" s="2786"/>
      <c r="DM63" s="1073">
        <v>18</v>
      </c>
    </row>
    <row r="64" spans="1:117" ht="29.25" customHeight="1">
      <c r="O64" s="472"/>
      <c r="P64" s="1246"/>
      <c r="S64" s="1171"/>
      <c r="T64" s="2786"/>
      <c r="U64" s="2786"/>
      <c r="V64" s="2786"/>
      <c r="W64" s="2786"/>
      <c r="X64" s="2786"/>
      <c r="Y64" s="2786"/>
      <c r="Z64" s="2786"/>
      <c r="AA64" s="2786"/>
      <c r="AB64" s="2786"/>
      <c r="AC64" s="2786"/>
      <c r="AD64" s="2786"/>
      <c r="AE64" s="2786"/>
      <c r="AF64" s="2786"/>
      <c r="AG64" s="2786"/>
      <c r="AH64" s="2786"/>
      <c r="AI64" s="2786"/>
      <c r="AJ64" s="2786"/>
      <c r="AK64" s="2786"/>
      <c r="AL64" s="2786"/>
      <c r="AM64" s="2786"/>
      <c r="AN64" s="2786"/>
      <c r="AO64" s="2786"/>
      <c r="AP64" s="2786"/>
      <c r="AQ64" s="2786"/>
      <c r="AR64" s="2786"/>
      <c r="AS64" s="2786"/>
      <c r="AT64" s="2786"/>
      <c r="AU64" s="2786"/>
      <c r="AV64" s="2786"/>
      <c r="AW64" s="2786"/>
      <c r="AX64" s="2786"/>
      <c r="AY64" s="2786"/>
      <c r="AZ64" s="2786"/>
      <c r="BA64" s="2786"/>
      <c r="BB64" s="2786"/>
      <c r="BC64" s="2786"/>
      <c r="BD64" s="2786"/>
      <c r="BE64" s="2786"/>
      <c r="BF64" s="2786"/>
      <c r="BG64" s="2786"/>
      <c r="BH64" s="2786"/>
      <c r="BI64" s="2786"/>
      <c r="BJ64" s="2786"/>
      <c r="BK64" s="2786"/>
      <c r="BL64" s="2786"/>
      <c r="BM64" s="2786"/>
      <c r="BN64" s="2786"/>
      <c r="BO64" s="2786"/>
      <c r="BP64" s="2786"/>
      <c r="BQ64" s="2786"/>
      <c r="BR64" s="2786"/>
      <c r="BS64" s="2786"/>
      <c r="BT64" s="2786"/>
      <c r="BU64" s="2786"/>
      <c r="BV64" s="2786"/>
      <c r="BW64" s="2786"/>
      <c r="BX64" s="2786"/>
      <c r="BY64" s="2786"/>
      <c r="BZ64" s="2786"/>
      <c r="CA64" s="2786"/>
      <c r="CB64" s="2786"/>
      <c r="CC64" s="2786"/>
      <c r="CD64" s="2786"/>
      <c r="CE64" s="2786"/>
      <c r="CF64" s="2786"/>
      <c r="CG64" s="2786"/>
      <c r="CH64" s="2786"/>
      <c r="CI64" s="2786"/>
      <c r="CJ64" s="2786"/>
      <c r="CK64" s="2786"/>
      <c r="CL64" s="2786"/>
      <c r="CM64" s="2786"/>
      <c r="CN64" s="2786"/>
      <c r="CO64" s="2786"/>
      <c r="CP64" s="2786"/>
      <c r="CQ64" s="2786"/>
      <c r="CR64" s="2786"/>
      <c r="CS64" s="2786"/>
      <c r="CT64" s="2786"/>
      <c r="CU64" s="2786"/>
      <c r="CV64" s="2786"/>
      <c r="CW64" s="2786"/>
      <c r="CX64" s="2786"/>
      <c r="CY64" s="2786"/>
      <c r="CZ64" s="2786"/>
      <c r="DA64" s="2786"/>
      <c r="DB64" s="2786"/>
      <c r="DC64" s="2786"/>
      <c r="DD64" s="2786"/>
      <c r="DE64" s="2786"/>
      <c r="DF64" s="2786"/>
      <c r="DG64" s="2786"/>
      <c r="DM64" s="1073">
        <v>28</v>
      </c>
    </row>
    <row r="65" spans="1:117" ht="22.5" hidden="1" customHeight="1">
      <c r="A65" s="1078" t="s">
        <v>81</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2050">
        <v>0</v>
      </c>
      <c r="AM65" s="2050">
        <v>0</v>
      </c>
      <c r="AN65" s="2050">
        <v>0</v>
      </c>
      <c r="AO65" s="2050">
        <v>0</v>
      </c>
      <c r="AP65" s="2050">
        <v>0</v>
      </c>
      <c r="AQ65" s="2050">
        <v>0</v>
      </c>
      <c r="AR65" s="2050">
        <v>0</v>
      </c>
      <c r="AS65" s="2050">
        <v>0</v>
      </c>
      <c r="AT65" s="2050">
        <v>0</v>
      </c>
      <c r="AU65" s="2050">
        <v>0</v>
      </c>
      <c r="AV65" s="2050">
        <v>0</v>
      </c>
      <c r="AW65" s="2050">
        <v>0</v>
      </c>
      <c r="AX65" s="2050">
        <v>0</v>
      </c>
      <c r="AY65" s="2050">
        <v>0</v>
      </c>
      <c r="AZ65" s="2050">
        <v>0</v>
      </c>
      <c r="BA65" s="2050">
        <v>0</v>
      </c>
      <c r="BB65" s="2050">
        <v>0</v>
      </c>
      <c r="BC65" s="2050">
        <v>0</v>
      </c>
      <c r="BD65" s="2050">
        <v>0</v>
      </c>
      <c r="BE65" s="2050">
        <v>0</v>
      </c>
      <c r="BF65" s="2050">
        <v>0</v>
      </c>
      <c r="BG65" s="2050">
        <v>0</v>
      </c>
      <c r="BH65" s="2050">
        <v>0</v>
      </c>
      <c r="BI65" s="2050">
        <v>0</v>
      </c>
      <c r="BJ65" s="2050">
        <v>0</v>
      </c>
      <c r="BK65" s="2050">
        <v>0</v>
      </c>
      <c r="BL65" s="2050">
        <v>0</v>
      </c>
      <c r="BM65" s="2050">
        <v>0</v>
      </c>
      <c r="BN65" s="2050">
        <v>0</v>
      </c>
      <c r="BO65" s="2050">
        <v>0</v>
      </c>
      <c r="BP65" s="2050">
        <v>0</v>
      </c>
      <c r="BQ65" s="2050">
        <v>0</v>
      </c>
      <c r="BR65" s="2050">
        <v>0</v>
      </c>
      <c r="BS65" s="2050">
        <v>0</v>
      </c>
      <c r="BT65" s="2050">
        <v>0</v>
      </c>
      <c r="BU65" s="2050">
        <v>0</v>
      </c>
      <c r="BV65" s="2050">
        <v>0</v>
      </c>
      <c r="BW65" s="2050">
        <v>0</v>
      </c>
      <c r="BX65" s="2050">
        <v>0</v>
      </c>
      <c r="BY65" s="2050">
        <v>0</v>
      </c>
      <c r="BZ65" s="2050">
        <v>0</v>
      </c>
      <c r="CA65" s="2050">
        <v>0</v>
      </c>
      <c r="CB65" s="2050">
        <v>0</v>
      </c>
      <c r="CC65" s="2050">
        <v>0</v>
      </c>
      <c r="CD65" s="2050">
        <v>0</v>
      </c>
      <c r="CE65" s="2050">
        <v>0</v>
      </c>
      <c r="CF65" s="2050">
        <v>0</v>
      </c>
      <c r="CG65" s="2050">
        <v>0</v>
      </c>
      <c r="CH65" s="2050">
        <v>0</v>
      </c>
      <c r="CI65" s="2050">
        <v>0</v>
      </c>
      <c r="CJ65" s="2050">
        <v>0</v>
      </c>
      <c r="CK65" s="2050">
        <v>0</v>
      </c>
      <c r="CL65" s="2050">
        <v>0</v>
      </c>
      <c r="CM65" s="2050">
        <v>0</v>
      </c>
      <c r="CN65" s="2050">
        <v>0</v>
      </c>
      <c r="CO65" s="2050">
        <v>0</v>
      </c>
      <c r="CP65" s="2050">
        <v>0</v>
      </c>
      <c r="CQ65" s="2050">
        <v>0</v>
      </c>
      <c r="CR65" s="2050">
        <v>0</v>
      </c>
      <c r="CS65" s="2050">
        <v>0</v>
      </c>
      <c r="CT65" s="2050">
        <v>0</v>
      </c>
      <c r="CU65" s="2050">
        <v>0</v>
      </c>
      <c r="CV65" s="2050">
        <v>0</v>
      </c>
      <c r="CW65" s="2050">
        <v>0</v>
      </c>
      <c r="CX65" s="2050">
        <v>0</v>
      </c>
      <c r="CY65" s="2050">
        <v>0</v>
      </c>
      <c r="CZ65" s="2050">
        <v>0</v>
      </c>
      <c r="DA65" s="2050">
        <v>0</v>
      </c>
      <c r="DB65" s="2050">
        <v>0</v>
      </c>
      <c r="DC65" s="2050">
        <v>0</v>
      </c>
      <c r="DD65" s="2050">
        <v>0</v>
      </c>
      <c r="DE65" s="2050">
        <v>0</v>
      </c>
      <c r="DF65" s="1073">
        <v>4</v>
      </c>
      <c r="DG65" s="1073">
        <v>115</v>
      </c>
      <c r="DH65" s="446">
        <v>10</v>
      </c>
      <c r="DI65" s="446">
        <v>10</v>
      </c>
      <c r="DJ65" s="446">
        <v>10</v>
      </c>
      <c r="DK65" s="446">
        <v>10</v>
      </c>
      <c r="DL65" s="446">
        <v>10</v>
      </c>
      <c r="DM65" s="1073">
        <v>23</v>
      </c>
    </row>
  </sheetData>
  <sheetProtection formatColumns="0" formatRows="0" insertRows="0" deleteColumns="0" deleteRows="0" sort="0" autoFilter="0"/>
  <mergeCells count="319">
    <mergeCell ref="V7:AC7"/>
    <mergeCell ref="AD7:DF7"/>
    <mergeCell ref="S34:T34"/>
    <mergeCell ref="V34:AB34"/>
    <mergeCell ref="AD34:AJ34"/>
    <mergeCell ref="S35:T35"/>
    <mergeCell ref="V35:AB35"/>
    <mergeCell ref="AD35:AJ35"/>
    <mergeCell ref="V2:AC2"/>
    <mergeCell ref="AD2:DF2"/>
    <mergeCell ref="V3:AC3"/>
    <mergeCell ref="AD3:DF3"/>
    <mergeCell ref="V4:AC4"/>
    <mergeCell ref="AD4:DF4"/>
    <mergeCell ref="V5:AC5"/>
    <mergeCell ref="AD5:DF5"/>
    <mergeCell ref="V6:AC6"/>
    <mergeCell ref="AD6:DF6"/>
    <mergeCell ref="AI17:AI18"/>
    <mergeCell ref="AJ17:AJ18"/>
    <mergeCell ref="AK17:AK18"/>
    <mergeCell ref="AK8:AK9"/>
    <mergeCell ref="AD29:AJ29"/>
    <mergeCell ref="AD30:AJ30"/>
    <mergeCell ref="T62:DG62"/>
    <mergeCell ref="T63:DG63"/>
    <mergeCell ref="T64:DG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DG59"/>
    <mergeCell ref="W40:W41"/>
    <mergeCell ref="T60:DG60"/>
    <mergeCell ref="Z49:Z50"/>
    <mergeCell ref="AA49:AA50"/>
    <mergeCell ref="AB49:AB50"/>
    <mergeCell ref="Z40:AB40"/>
    <mergeCell ref="AA41:AB41"/>
    <mergeCell ref="AA42:AB42"/>
    <mergeCell ref="V37:AC37"/>
    <mergeCell ref="S38:DF38"/>
    <mergeCell ref="DG38:DG41"/>
    <mergeCell ref="S39:S41"/>
    <mergeCell ref="T39:T41"/>
    <mergeCell ref="V39:AB39"/>
    <mergeCell ref="AC39:AC41"/>
    <mergeCell ref="DF39:DF41"/>
    <mergeCell ref="AI42:AJ42"/>
    <mergeCell ref="AD39:AJ39"/>
    <mergeCell ref="AK39:AK41"/>
    <mergeCell ref="AD40:AD41"/>
    <mergeCell ref="AE40:AE41"/>
    <mergeCell ref="AF40:AG40"/>
    <mergeCell ref="AH40:AJ40"/>
    <mergeCell ref="AI41:AJ41"/>
    <mergeCell ref="AQ42:AR42"/>
    <mergeCell ref="CE42:CF42"/>
    <mergeCell ref="AC49:AC50"/>
    <mergeCell ref="DG49:DG51"/>
    <mergeCell ref="DG8:DG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DF43"/>
    <mergeCell ref="AD44:DF44"/>
    <mergeCell ref="AD45:DF45"/>
    <mergeCell ref="AD46:DF46"/>
    <mergeCell ref="AD47:DF47"/>
    <mergeCell ref="AD48:DF48"/>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BQ49:BQ50"/>
    <mergeCell ref="BV8:BV9"/>
    <mergeCell ref="BW8:BW9"/>
    <mergeCell ref="BX8:BX9"/>
    <mergeCell ref="BY8:BY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49:BV50"/>
    <mergeCell ref="BW49:BW50"/>
    <mergeCell ref="BX49:BX50"/>
    <mergeCell ref="BY49:BY50"/>
    <mergeCell ref="CD8:CD9"/>
    <mergeCell ref="CE8:CE9"/>
    <mergeCell ref="CF8:CF9"/>
    <mergeCell ref="CG8:CG9"/>
    <mergeCell ref="BZ29:CF29"/>
    <mergeCell ref="BZ30:CF30"/>
    <mergeCell ref="BZ31:CF31"/>
    <mergeCell ref="BZ32:CF32"/>
    <mergeCell ref="BZ34:CF34"/>
    <mergeCell ref="CL49:CL50"/>
    <mergeCell ref="BZ35:CF35"/>
    <mergeCell ref="BZ37:CG37"/>
    <mergeCell ref="BZ39:CF39"/>
    <mergeCell ref="CG39:CG41"/>
    <mergeCell ref="BZ40:BZ41"/>
    <mergeCell ref="CA40:CA41"/>
    <mergeCell ref="CB40:CC40"/>
    <mergeCell ref="CD40:CF40"/>
    <mergeCell ref="CE41:CF41"/>
    <mergeCell ref="CU49:CU50"/>
    <mergeCell ref="CD49:CD50"/>
    <mergeCell ref="CE49:CE50"/>
    <mergeCell ref="CF49:CF50"/>
    <mergeCell ref="CG49:CG50"/>
    <mergeCell ref="CL8:CL9"/>
    <mergeCell ref="CM8:CM9"/>
    <mergeCell ref="CN8:CN9"/>
    <mergeCell ref="CO8:CO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DD49:DD50"/>
    <mergeCell ref="CM49:CM50"/>
    <mergeCell ref="CN49:CN50"/>
    <mergeCell ref="CO49:CO50"/>
    <mergeCell ref="CT8:CT9"/>
    <mergeCell ref="CU8:CU9"/>
    <mergeCell ref="CV8:CV9"/>
    <mergeCell ref="CW8:CW9"/>
    <mergeCell ref="CP29:CV29"/>
    <mergeCell ref="CP30:CV30"/>
    <mergeCell ref="CP31:CV31"/>
    <mergeCell ref="CP32:CV32"/>
    <mergeCell ref="CP34:CV34"/>
    <mergeCell ref="CP35:CV35"/>
    <mergeCell ref="CP37:CW37"/>
    <mergeCell ref="CP39:CV39"/>
    <mergeCell ref="CW39:CW41"/>
    <mergeCell ref="CP40:CP41"/>
    <mergeCell ref="CQ40:CQ41"/>
    <mergeCell ref="CR40:CS40"/>
    <mergeCell ref="CT40:CV40"/>
    <mergeCell ref="CU41:CV41"/>
    <mergeCell ref="CU42:CV42"/>
    <mergeCell ref="CT49:CT50"/>
    <mergeCell ref="DE49:DE50"/>
    <mergeCell ref="CV49:CV50"/>
    <mergeCell ref="CW49:CW50"/>
    <mergeCell ref="DB8:DB9"/>
    <mergeCell ref="DC8:DC9"/>
    <mergeCell ref="DD8:DD9"/>
    <mergeCell ref="DE8:DE9"/>
    <mergeCell ref="CX29:DD29"/>
    <mergeCell ref="CX30:DD30"/>
    <mergeCell ref="CX31:DD31"/>
    <mergeCell ref="CX32:DD32"/>
    <mergeCell ref="CX34:DD34"/>
    <mergeCell ref="CX35:DD35"/>
    <mergeCell ref="CX37:DE37"/>
    <mergeCell ref="CX39:DD39"/>
    <mergeCell ref="DE39:DE41"/>
    <mergeCell ref="CX40:CX41"/>
    <mergeCell ref="CY40:CY41"/>
    <mergeCell ref="CZ40:DA40"/>
    <mergeCell ref="DB40:DD40"/>
    <mergeCell ref="DC41:DD41"/>
    <mergeCell ref="DC42:DD42"/>
    <mergeCell ref="DB49:DB50"/>
    <mergeCell ref="DC49:DC5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DE327729 AK393265:DE393265 AK49 AQ49 AS49 AY49 BA49 BG49 BI49 BO49 BQ49 BW49 BY49 CE49 CG49 CM49 CO49 CU49 CW49 DC49 DE49 AK524337:DE524337 AK8 AQ8 AS8 AY8 BA8 BG8 BI8 BO8 BQ8 BW8 BY8 CE8 CG8 CM8 CO8 CU8 CW8 DC8 DE8 AK589873:DE589873 AK655409:DE655409 AK17 AK720945:DE720945 AK786481:DE786481 AK852017:DE852017 AK917553:DE917553 AK983089:DE983089 AK65585:DE65585 AK131121:DE131121 AI49 AK458801:DE458801 AI8 AC8 AA8 AI17 AK196657:DE196657 AA49 AC49 AK262193:DE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CD8 CF8 CD49 CF49 CL8 CN8 CL49 CN49 CT8 CV8 CT49 CV49 DB8 DD8 DB49 DD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DG65579:DG65586 DG131115:DG131122 DG196651:DG196658 DG262187:DG262194 DG327723:DG327730 DG393259:DG393266 DG458795:DG458802 DG524331:DG524338 DG589867:DG589874 DG655403:DG655410 DG720939:DG720946 DG786475:DG786482 DG852011:DG852018 DG917547:DG917554 DG983083:DG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AW9 AW50 BE9 BE50 BM9 BM50 BU9 BU50 CC9 CC50 CK9 CK50 CS9 CS50 DA9 DA50"/>
    <dataValidation type="list" allowBlank="1" showInputMessage="1" errorTitle="Ошибка" error="Выберите значение из списка" prompt="Выберите значение из списка" sqref="V983088:DF983088 V65584:DF65584 V131120:DF131120 V196656:DF196656 V262192:DF262192 V327728:DF327728 V393264:DF393264 V458800:DF458800 V524336:DF524336 V589872:DF589872 V655408:DF655408 V720944:DF720944 V786480:DF786480 V852016:DF852016 V917552:DF917552">
      <formula1>kind_of_cons</formula1>
    </dataValidation>
    <dataValidation allowBlank="1" sqref="S131123:DG131129 S196659:DG196665 S262195:DG262201 S327731:DG327737 S393267:DG393273 S458803:DG458809 S524339:DG524345 S589875:DG589881 S655411:DG655417 S720947:DG720953 S786483:DG786489 S852019:DG852025 S917555:DG917561 S983091:DG983097 S65587:DG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519" hidden="1"/>
    <col min="2" max="2" width="11" style="2519" hidden="1" customWidth="1"/>
    <col min="3" max="3" width="10.5703125" style="2519" hidden="1"/>
    <col min="4" max="4" width="11.85546875" style="2519" hidden="1" customWidth="1"/>
    <col min="5" max="5" width="10" style="2519" hidden="1" customWidth="1"/>
    <col min="6" max="6" width="8.7109375" style="2519" hidden="1" customWidth="1"/>
    <col min="7" max="7" width="7.5703125" style="2519" hidden="1" customWidth="1"/>
    <col min="8" max="8" width="11.42578125" style="2519" hidden="1" customWidth="1"/>
    <col min="9" max="9" width="12" style="2519" hidden="1" customWidth="1"/>
    <col min="10" max="10" width="9.85546875" style="2519" hidden="1" customWidth="1"/>
    <col min="11" max="11" width="11.42578125" style="2519" hidden="1" customWidth="1"/>
    <col min="12" max="12" width="19.140625" style="2545" hidden="1" customWidth="1"/>
    <col min="13" max="14" width="12.28515625" style="2546" hidden="1" customWidth="1"/>
    <col min="15" max="15" width="23.42578125" style="2546" hidden="1" customWidth="1"/>
    <col min="16" max="16" width="3" style="2547" customWidth="1"/>
    <col min="17" max="18" width="3" style="2548" customWidth="1"/>
    <col min="19" max="19" width="12" style="2549" customWidth="1"/>
    <col min="20" max="20" width="31" style="2513" customWidth="1"/>
    <col min="21" max="21" width="0.140625" style="2513" customWidth="1"/>
    <col min="22" max="22" width="24.7109375" style="2513" hidden="1" customWidth="1"/>
    <col min="23" max="23" width="0.140625" style="2513" hidden="1" customWidth="1"/>
    <col min="24" max="25" width="24.7109375" style="2513" hidden="1" customWidth="1"/>
    <col min="26" max="26" width="11.7109375" style="2513" hidden="1" customWidth="1"/>
    <col min="27" max="27" width="3.7109375" style="2513" hidden="1" customWidth="1"/>
    <col min="28" max="28" width="11.7109375" style="2513" hidden="1" customWidth="1"/>
    <col min="29" max="29" width="8.5703125" style="2513" hidden="1" customWidth="1"/>
    <col min="30" max="30" width="24.7109375" style="2513" customWidth="1"/>
    <col min="31" max="31" width="0.140625" style="2513" customWidth="1"/>
    <col min="32" max="33" width="24" style="2513" customWidth="1"/>
    <col min="34" max="34" width="11" style="2513" customWidth="1"/>
    <col min="35" max="35" width="3.7109375" style="2513" customWidth="1"/>
    <col min="36" max="36" width="11" style="2513" customWidth="1"/>
    <col min="37" max="37" width="8.5703125" style="2513" hidden="1" customWidth="1"/>
    <col min="38" max="38" width="4" style="2513" customWidth="1"/>
    <col min="39" max="39" width="115" style="2513" customWidth="1"/>
    <col min="40" max="44" width="10" style="2520" customWidth="1"/>
    <col min="45" max="45" width="10.5703125" style="2513" hidden="1"/>
  </cols>
  <sheetData>
    <row r="1" spans="1:45" ht="22.5" hidden="1" customHeight="1">
      <c r="Y1" s="263"/>
      <c r="Z1" s="263"/>
      <c r="AG1" s="263"/>
      <c r="AH1" s="263"/>
      <c r="AS1" s="1073" t="s">
        <v>14</v>
      </c>
    </row>
    <row r="2" spans="1:45" ht="21" hidden="1" customHeight="1">
      <c r="A2" s="1281"/>
      <c r="B2" s="1281"/>
      <c r="C2" s="1281"/>
      <c r="D2" s="1281"/>
      <c r="E2" s="2778">
        <v>1</v>
      </c>
      <c r="F2" s="1281"/>
      <c r="G2" s="1281"/>
      <c r="H2" s="1281"/>
      <c r="I2" s="1281"/>
      <c r="J2" s="1281"/>
      <c r="K2" s="1281"/>
      <c r="L2" s="1282"/>
      <c r="M2" s="1283"/>
      <c r="N2" s="1283"/>
      <c r="O2" s="1283"/>
      <c r="P2" s="296"/>
      <c r="Q2" s="295"/>
      <c r="R2" s="290"/>
      <c r="S2" s="1254" t="e">
        <f>INDEX(PT_DIFFERENTIATION_NUM_NTAR,MATCH(A2,PT_DIFFERENTIATION_NTAR_ID,0))</f>
        <v>#N/A</v>
      </c>
      <c r="T2" s="234" t="s">
        <v>122</v>
      </c>
      <c r="U2" s="236"/>
      <c r="V2" s="2766"/>
      <c r="W2" s="2767"/>
      <c r="X2" s="2767"/>
      <c r="Y2" s="2767"/>
      <c r="Z2" s="2767"/>
      <c r="AA2" s="2767"/>
      <c r="AB2" s="2767"/>
      <c r="AC2" s="2768"/>
      <c r="AD2" s="2766" t="e">
        <f>INDEX(PT_DIFFERENTIATION_NTAR,MATCH(A2,PT_DIFFERENTIATION_NTAR_ID,0))</f>
        <v>#N/A</v>
      </c>
      <c r="AE2" s="2767"/>
      <c r="AF2" s="2767"/>
      <c r="AG2" s="2767"/>
      <c r="AH2" s="2767"/>
      <c r="AI2" s="2767"/>
      <c r="AJ2" s="2767"/>
      <c r="AK2" s="2767"/>
      <c r="AL2" s="2768"/>
      <c r="AM2" s="1176" t="s">
        <v>398</v>
      </c>
      <c r="AO2" s="435"/>
      <c r="AP2" s="435" t="str">
        <f t="shared" ref="AP2:AP15" si="0">IF(T2="","",T2)</f>
        <v>Наименование тарифа</v>
      </c>
      <c r="AQ2" s="435"/>
      <c r="AR2" s="435"/>
      <c r="AS2" s="1073">
        <v>0</v>
      </c>
    </row>
    <row r="3" spans="1:45" ht="21" hidden="1" customHeight="1">
      <c r="A3" s="1281"/>
      <c r="B3" s="1281"/>
      <c r="C3" s="1281"/>
      <c r="D3" s="1281"/>
      <c r="E3" s="2779"/>
      <c r="F3" s="2778">
        <v>1</v>
      </c>
      <c r="G3" s="1281"/>
      <c r="H3" s="1281"/>
      <c r="I3" s="1281"/>
      <c r="J3" s="1281"/>
      <c r="K3" s="1281"/>
      <c r="L3" s="1282"/>
      <c r="M3" s="1283"/>
      <c r="N3" s="1283"/>
      <c r="O3" s="1283"/>
      <c r="P3" s="1250"/>
      <c r="Q3" s="287"/>
      <c r="R3" s="288"/>
      <c r="S3" s="1254" t="e">
        <f>INDEX(PT_DIFFERENTIATION_NUM_TER,MATCH(B3,PT_DIFFERENTIATION_TER_ID,0))</f>
        <v>#N/A</v>
      </c>
      <c r="T3" s="244" t="s">
        <v>399</v>
      </c>
      <c r="U3" s="236"/>
      <c r="V3" s="2766"/>
      <c r="W3" s="2767"/>
      <c r="X3" s="2767"/>
      <c r="Y3" s="2767"/>
      <c r="Z3" s="2767"/>
      <c r="AA3" s="2767"/>
      <c r="AB3" s="2767"/>
      <c r="AC3" s="2768"/>
      <c r="AD3" s="2766" t="e">
        <f>INDEX(PT_DIFFERENTIATION_TER,MATCH(B3,PT_DIFFERENTIATION_TER_ID,0))</f>
        <v>#N/A</v>
      </c>
      <c r="AE3" s="2767"/>
      <c r="AF3" s="2767"/>
      <c r="AG3" s="2767"/>
      <c r="AH3" s="2767"/>
      <c r="AI3" s="2767"/>
      <c r="AJ3" s="2767"/>
      <c r="AK3" s="2767"/>
      <c r="AL3" s="2768"/>
      <c r="AM3" s="1176" t="s">
        <v>400</v>
      </c>
      <c r="AO3" s="435"/>
      <c r="AP3" s="435" t="str">
        <f t="shared" si="0"/>
        <v>Территория действия тарифа</v>
      </c>
      <c r="AQ3" s="435"/>
      <c r="AR3" s="435"/>
      <c r="AS3" s="1073">
        <v>0</v>
      </c>
    </row>
    <row r="4" spans="1:45" ht="23.25" hidden="1" customHeight="1">
      <c r="A4" s="1281"/>
      <c r="B4" s="1281"/>
      <c r="C4" s="1281"/>
      <c r="D4" s="1281"/>
      <c r="E4" s="2779"/>
      <c r="F4" s="2779"/>
      <c r="G4" s="2778">
        <v>1</v>
      </c>
      <c r="H4" s="1281"/>
      <c r="I4" s="1281"/>
      <c r="J4" s="1281"/>
      <c r="K4" s="1281"/>
      <c r="L4" s="1282"/>
      <c r="M4" s="1283"/>
      <c r="N4" s="1283"/>
      <c r="O4" s="1283"/>
      <c r="P4" s="289"/>
      <c r="Q4" s="287"/>
      <c r="R4" s="288"/>
      <c r="S4" s="1254" t="e">
        <f>INDEX(PT_DIFFERENTIATION_NUM_CS,MATCH(C4,PT_DIFFERENTIATION_CS_ID,0))</f>
        <v>#N/A</v>
      </c>
      <c r="T4" s="245" t="s">
        <v>401</v>
      </c>
      <c r="U4" s="236"/>
      <c r="V4" s="2766"/>
      <c r="W4" s="2767"/>
      <c r="X4" s="2767"/>
      <c r="Y4" s="2767"/>
      <c r="Z4" s="2767"/>
      <c r="AA4" s="2767"/>
      <c r="AB4" s="2767"/>
      <c r="AC4" s="2768"/>
      <c r="AD4" s="2766" t="e">
        <f>INDEX(PT_DIFFERENTIATION_CS,MATCH(C4,PT_DIFFERENTIATION_CS_ID,0))</f>
        <v>#N/A</v>
      </c>
      <c r="AE4" s="2767"/>
      <c r="AF4" s="2767"/>
      <c r="AG4" s="2767"/>
      <c r="AH4" s="2767"/>
      <c r="AI4" s="2767"/>
      <c r="AJ4" s="2767"/>
      <c r="AK4" s="2767"/>
      <c r="AL4" s="2768"/>
      <c r="AM4" s="1176" t="s">
        <v>402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779"/>
      <c r="F5" s="2779"/>
      <c r="G5" s="2779"/>
      <c r="H5" s="2778">
        <v>1</v>
      </c>
      <c r="I5" s="1281"/>
      <c r="J5" s="1281"/>
      <c r="K5" s="1281"/>
      <c r="L5" s="1282"/>
      <c r="M5" s="1283"/>
      <c r="N5" s="1283"/>
      <c r="O5" s="1283"/>
      <c r="P5" s="289"/>
      <c r="Q5" s="287"/>
      <c r="R5" s="288"/>
      <c r="S5" s="1254" t="e">
        <f>INDEX(PT_DIFFERENTIATION_NUM_IST_TE,MATCH(D5,PT_DIFFERENTIATION_IST_TE_ID,0))</f>
        <v>#N/A</v>
      </c>
      <c r="T5" s="246" t="s">
        <v>403</v>
      </c>
      <c r="U5" s="236"/>
      <c r="V5" s="2766"/>
      <c r="W5" s="2767"/>
      <c r="X5" s="2767"/>
      <c r="Y5" s="2767"/>
      <c r="Z5" s="2767"/>
      <c r="AA5" s="2767"/>
      <c r="AB5" s="2767"/>
      <c r="AC5" s="2768"/>
      <c r="AD5" s="2766" t="e">
        <f>INDEX(PT_DIFFERENTIATION_IST_TE,MATCH(D5,PT_DIFFERENTIATION_IST_TE_ID,0))</f>
        <v>#N/A</v>
      </c>
      <c r="AE5" s="2767"/>
      <c r="AF5" s="2767"/>
      <c r="AG5" s="2767"/>
      <c r="AH5" s="2767"/>
      <c r="AI5" s="2767"/>
      <c r="AJ5" s="2767"/>
      <c r="AK5" s="2767"/>
      <c r="AL5" s="2768"/>
      <c r="AM5" s="1176" t="s">
        <v>404</v>
      </c>
      <c r="AO5" s="435"/>
      <c r="AP5" s="435" t="str">
        <f t="shared" si="0"/>
        <v xml:space="preserve">Источник тепловой энергии  </v>
      </c>
      <c r="AQ5" s="435"/>
      <c r="AR5" s="435"/>
      <c r="AS5" s="1073">
        <v>0</v>
      </c>
    </row>
    <row r="6" spans="1:45" ht="47.25" hidden="1" customHeight="1">
      <c r="A6" s="1281"/>
      <c r="B6" s="1281"/>
      <c r="C6" s="1281"/>
      <c r="D6" s="1281"/>
      <c r="E6" s="2779"/>
      <c r="F6" s="2779"/>
      <c r="G6" s="2779"/>
      <c r="H6" s="2779"/>
      <c r="I6" s="2776" t="e">
        <f>S5&amp;".1"</f>
        <v>#N/A</v>
      </c>
      <c r="J6" s="1281"/>
      <c r="K6" s="1281"/>
      <c r="L6" s="1282" t="s">
        <v>405</v>
      </c>
      <c r="M6" s="472"/>
      <c r="P6" s="2777">
        <v>1</v>
      </c>
      <c r="Q6" s="1249"/>
      <c r="R6" s="291"/>
      <c r="S6" s="1254" t="e">
        <f>$I6</f>
        <v>#N/A</v>
      </c>
      <c r="T6" s="221" t="s">
        <v>406</v>
      </c>
      <c r="U6" s="236"/>
      <c r="V6" s="2769"/>
      <c r="W6" s="2770"/>
      <c r="X6" s="2770"/>
      <c r="Y6" s="2770"/>
      <c r="Z6" s="2770"/>
      <c r="AA6" s="2770"/>
      <c r="AB6" s="2770"/>
      <c r="AC6" s="2771"/>
      <c r="AD6" s="2769"/>
      <c r="AE6" s="2770"/>
      <c r="AF6" s="2770"/>
      <c r="AG6" s="2770"/>
      <c r="AH6" s="2770"/>
      <c r="AI6" s="2770"/>
      <c r="AJ6" s="2770"/>
      <c r="AK6" s="2770"/>
      <c r="AL6" s="2771"/>
      <c r="AM6" s="1176" t="s">
        <v>407</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779"/>
      <c r="F7" s="2779"/>
      <c r="G7" s="2779"/>
      <c r="H7" s="2779"/>
      <c r="I7" s="2787"/>
      <c r="J7" s="2776" t="e">
        <f>I6&amp;".1"</f>
        <v>#N/A</v>
      </c>
      <c r="K7" s="1281"/>
      <c r="L7" s="1282" t="s">
        <v>408</v>
      </c>
      <c r="M7" s="472"/>
      <c r="N7" s="1284"/>
      <c r="P7" s="2777"/>
      <c r="Q7" s="2777">
        <v>1</v>
      </c>
      <c r="R7" s="292"/>
      <c r="S7" s="1254" t="e">
        <f>$J7</f>
        <v>#N/A</v>
      </c>
      <c r="T7" s="222" t="s">
        <v>409</v>
      </c>
      <c r="U7" s="236"/>
      <c r="V7" s="2769"/>
      <c r="W7" s="2770"/>
      <c r="X7" s="2770"/>
      <c r="Y7" s="2770"/>
      <c r="Z7" s="2770"/>
      <c r="AA7" s="2770"/>
      <c r="AB7" s="2770"/>
      <c r="AC7" s="2771"/>
      <c r="AD7" s="2769"/>
      <c r="AE7" s="2770"/>
      <c r="AF7" s="2770"/>
      <c r="AG7" s="2770"/>
      <c r="AH7" s="2770"/>
      <c r="AI7" s="2770"/>
      <c r="AJ7" s="2770"/>
      <c r="AK7" s="2770"/>
      <c r="AL7" s="2771"/>
      <c r="AM7" s="1176" t="s">
        <v>410</v>
      </c>
      <c r="AO7" s="435"/>
      <c r="AP7" s="435" t="str">
        <f t="shared" si="0"/>
        <v>Группа потребителей</v>
      </c>
      <c r="AQ7" s="435"/>
      <c r="AR7" s="435"/>
      <c r="AS7" s="1073">
        <v>0</v>
      </c>
    </row>
    <row r="8" spans="1:45" ht="21" hidden="1" customHeight="1">
      <c r="A8" s="1281"/>
      <c r="B8" s="1281"/>
      <c r="C8" s="1281"/>
      <c r="D8" s="1281"/>
      <c r="E8" s="2779"/>
      <c r="F8" s="2779"/>
      <c r="G8" s="2779"/>
      <c r="H8" s="2779"/>
      <c r="I8" s="2787"/>
      <c r="J8" s="2787"/>
      <c r="K8" s="2776" t="e">
        <f>J7&amp;".1"</f>
        <v>#N/A</v>
      </c>
      <c r="L8" s="1282" t="s">
        <v>411</v>
      </c>
      <c r="M8" s="472"/>
      <c r="N8" s="1284"/>
      <c r="O8" s="1284"/>
      <c r="P8" s="2777"/>
      <c r="Q8" s="2777"/>
      <c r="R8" s="292">
        <v>1</v>
      </c>
      <c r="S8" s="1254" t="e">
        <f>$K8</f>
        <v>#N/A</v>
      </c>
      <c r="T8" s="1265"/>
      <c r="U8" s="236"/>
      <c r="V8" s="686"/>
      <c r="W8" s="261"/>
      <c r="X8" s="686"/>
      <c r="Y8" s="1175"/>
      <c r="Z8" s="2753"/>
      <c r="AA8" s="2619" t="s">
        <v>66</v>
      </c>
      <c r="AB8" s="2753"/>
      <c r="AC8" s="2619" t="s">
        <v>66</v>
      </c>
      <c r="AD8" s="686"/>
      <c r="AE8" s="261"/>
      <c r="AF8" s="686"/>
      <c r="AG8" s="1175"/>
      <c r="AH8" s="2753"/>
      <c r="AI8" s="2619" t="s">
        <v>66</v>
      </c>
      <c r="AJ8" s="2753"/>
      <c r="AK8" s="2619" t="s">
        <v>66</v>
      </c>
      <c r="AL8" s="261"/>
      <c r="AM8" s="2773" t="s">
        <v>412</v>
      </c>
      <c r="AN8" s="446" t="e">
        <f ca="1">STRCHECKDATE(V9:AL9)</f>
        <v>#NAME?</v>
      </c>
      <c r="AO8" s="435"/>
      <c r="AP8" s="435" t="str">
        <f t="shared" si="0"/>
        <v/>
      </c>
      <c r="AQ8" s="435"/>
      <c r="AR8" s="435"/>
      <c r="AS8" s="1073">
        <v>0</v>
      </c>
    </row>
    <row r="9" spans="1:45" ht="0.75" hidden="1" customHeight="1">
      <c r="A9" s="1281"/>
      <c r="B9" s="1281"/>
      <c r="C9" s="1281"/>
      <c r="D9" s="1281"/>
      <c r="E9" s="2779"/>
      <c r="F9" s="2779"/>
      <c r="G9" s="2779"/>
      <c r="H9" s="2779"/>
      <c r="I9" s="2787"/>
      <c r="J9" s="2787"/>
      <c r="K9" s="2776"/>
      <c r="L9" s="1282"/>
      <c r="M9" s="472"/>
      <c r="N9" s="1284"/>
      <c r="O9" s="1284"/>
      <c r="P9" s="2777"/>
      <c r="Q9" s="2777"/>
      <c r="R9" s="292"/>
      <c r="S9" s="1260"/>
      <c r="T9" s="236"/>
      <c r="U9" s="236"/>
      <c r="V9" s="261"/>
      <c r="W9" s="261"/>
      <c r="X9" s="261"/>
      <c r="Y9" s="264" t="str">
        <f>Z8&amp;"-"&amp;AB8</f>
        <v>-</v>
      </c>
      <c r="Z9" s="2752"/>
      <c r="AA9" s="2619"/>
      <c r="AB9" s="2752"/>
      <c r="AC9" s="2619"/>
      <c r="AD9" s="261"/>
      <c r="AE9" s="261"/>
      <c r="AF9" s="261"/>
      <c r="AG9" s="264" t="str">
        <f>AH8&amp;"-"&amp;AJ8</f>
        <v>-</v>
      </c>
      <c r="AH9" s="2752"/>
      <c r="AI9" s="2619"/>
      <c r="AJ9" s="2752"/>
      <c r="AK9" s="2619"/>
      <c r="AL9" s="261"/>
      <c r="AM9" s="2774"/>
      <c r="AO9" s="435"/>
      <c r="AP9" s="435" t="str">
        <f t="shared" si="0"/>
        <v/>
      </c>
      <c r="AQ9" s="435"/>
      <c r="AR9" s="435"/>
      <c r="AS9" s="1073">
        <v>0</v>
      </c>
    </row>
    <row r="10" spans="1:45" ht="15" hidden="1" customHeight="1">
      <c r="A10" s="1281"/>
      <c r="B10" s="1281"/>
      <c r="C10" s="1281"/>
      <c r="D10" s="1281"/>
      <c r="E10" s="2779"/>
      <c r="F10" s="2779"/>
      <c r="G10" s="2779"/>
      <c r="H10" s="2779"/>
      <c r="I10" s="2787"/>
      <c r="J10" s="2776"/>
      <c r="K10" s="1281"/>
      <c r="L10" s="1282"/>
      <c r="M10" s="472"/>
      <c r="N10" s="1284"/>
      <c r="P10" s="2777"/>
      <c r="Q10" s="2777"/>
      <c r="R10" s="291"/>
      <c r="S10" s="1196"/>
      <c r="T10" s="224" t="s">
        <v>413</v>
      </c>
      <c r="U10" s="302"/>
      <c r="V10" s="302"/>
      <c r="W10" s="302"/>
      <c r="X10" s="302"/>
      <c r="Y10" s="302"/>
      <c r="Z10" s="302"/>
      <c r="AA10" s="302"/>
      <c r="AB10" s="302"/>
      <c r="AC10" s="302"/>
      <c r="AD10" s="302"/>
      <c r="AE10" s="302"/>
      <c r="AF10" s="302"/>
      <c r="AG10" s="302"/>
      <c r="AH10" s="302"/>
      <c r="AI10" s="302"/>
      <c r="AJ10" s="302"/>
      <c r="AK10" s="302"/>
      <c r="AL10" s="260"/>
      <c r="AM10" s="2775"/>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779"/>
      <c r="F11" s="2779"/>
      <c r="G11" s="2779"/>
      <c r="H11" s="2779"/>
      <c r="I11" s="2776"/>
      <c r="J11" s="1281"/>
      <c r="K11" s="1281"/>
      <c r="L11" s="1282"/>
      <c r="M11" s="472"/>
      <c r="P11" s="2777"/>
      <c r="Q11" s="1249"/>
      <c r="R11" s="291"/>
      <c r="S11" s="1196"/>
      <c r="T11" s="223" t="s">
        <v>414</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779"/>
      <c r="F12" s="2779"/>
      <c r="G12" s="2779"/>
      <c r="H12" s="2778"/>
      <c r="I12" s="1281"/>
      <c r="J12" s="1281"/>
      <c r="K12" s="1281"/>
      <c r="L12" s="1282"/>
      <c r="M12" s="1283"/>
      <c r="N12" s="1283"/>
      <c r="O12" s="472"/>
      <c r="P12" s="295"/>
      <c r="Q12" s="310"/>
      <c r="R12" s="290"/>
      <c r="S12" s="1196"/>
      <c r="T12" s="300" t="s">
        <v>415</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520" customFormat="1" ht="0.75" hidden="1" customHeight="1">
      <c r="A13" s="1232"/>
      <c r="B13" s="1232"/>
      <c r="C13" s="1232"/>
      <c r="D13" s="1232"/>
      <c r="E13" s="2779"/>
      <c r="F13" s="2779"/>
      <c r="G13" s="2778"/>
      <c r="H13" s="1232"/>
      <c r="I13" s="1232"/>
      <c r="J13" s="1232"/>
      <c r="K13" s="1232"/>
      <c r="L13" s="1257"/>
      <c r="M13" s="1233"/>
      <c r="N13" s="1233"/>
      <c r="P13" s="1234"/>
      <c r="Q13" s="1235"/>
      <c r="R13" s="1234"/>
      <c r="S13" s="1236"/>
      <c r="T13" s="1237" t="s">
        <v>160</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520" customFormat="1" ht="0.75" hidden="1" customHeight="1">
      <c r="A14" s="1232"/>
      <c r="B14" s="1232"/>
      <c r="C14" s="1232"/>
      <c r="D14" s="1232"/>
      <c r="E14" s="2779"/>
      <c r="F14" s="2778"/>
      <c r="G14" s="1232"/>
      <c r="H14" s="1232"/>
      <c r="I14" s="1232"/>
      <c r="J14" s="1232"/>
      <c r="K14" s="1232"/>
      <c r="L14" s="1257"/>
      <c r="M14" s="1239"/>
      <c r="N14" s="1239"/>
      <c r="P14" s="1234"/>
      <c r="Q14" s="1235"/>
      <c r="R14" s="1234"/>
      <c r="S14" s="1240"/>
      <c r="T14" s="1241" t="s">
        <v>161</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520" customFormat="1" ht="0.75" hidden="1" customHeight="1">
      <c r="A15" s="1232"/>
      <c r="B15" s="1232"/>
      <c r="C15" s="1232"/>
      <c r="D15" s="1232"/>
      <c r="E15" s="2778"/>
      <c r="F15" s="1232"/>
      <c r="G15" s="1232"/>
      <c r="H15" s="1232"/>
      <c r="I15" s="1232"/>
      <c r="J15" s="1232"/>
      <c r="K15" s="1232"/>
      <c r="L15" s="1257"/>
      <c r="M15" s="1239"/>
      <c r="N15" s="1239"/>
      <c r="P15" s="1234"/>
      <c r="Q15" s="1235"/>
      <c r="R15" s="1234"/>
      <c r="S15" s="1240"/>
      <c r="T15" s="1243" t="s">
        <v>162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780"/>
      <c r="AI17" s="2781" t="s">
        <v>66</v>
      </c>
      <c r="AJ17" s="2780"/>
      <c r="AK17" s="2781" t="s">
        <v>66</v>
      </c>
      <c r="AS17" s="1073">
        <v>0</v>
      </c>
    </row>
    <row r="18" spans="1:45" ht="14.25" hidden="1" customHeight="1">
      <c r="AD18" s="1278"/>
      <c r="AE18" s="1278"/>
      <c r="AF18" s="1278"/>
      <c r="AG18" s="264" t="str">
        <f>AH17&amp;"-"&amp;AJ17</f>
        <v>-</v>
      </c>
      <c r="AH18" s="2781"/>
      <c r="AI18" s="2781"/>
      <c r="AJ18" s="2781"/>
      <c r="AK18" s="2781"/>
      <c r="AS18" s="1073">
        <v>0</v>
      </c>
    </row>
    <row r="19" spans="1:45" ht="14.25" hidden="1" customHeight="1">
      <c r="AK19" s="263"/>
      <c r="AS19" s="1073">
        <v>0</v>
      </c>
    </row>
    <row r="20" spans="1:45" s="2519"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51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519"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7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49"/>
      <c r="U26" s="2749"/>
      <c r="V26" s="2749"/>
      <c r="W26" s="2749"/>
      <c r="X26" s="2749"/>
      <c r="Y26" s="2749"/>
      <c r="Z26" s="2749"/>
      <c r="AA26" s="2749"/>
      <c r="AB26" s="2749"/>
      <c r="AC26" s="2749"/>
      <c r="AD26" s="2749"/>
      <c r="AE26" s="2749"/>
      <c r="AF26" s="2749"/>
      <c r="AG26" s="2749"/>
      <c r="AH26" s="2749"/>
      <c r="AI26" s="2749"/>
      <c r="AJ26" s="2749"/>
      <c r="AK26" s="1161"/>
      <c r="AS26" s="1073">
        <v>14</v>
      </c>
    </row>
    <row r="27" spans="1:45" ht="14.65" customHeight="1">
      <c r="Q27" s="311"/>
      <c r="R27" s="311"/>
      <c r="S27" s="2696" t="str">
        <f>IF(org=0,"Не определено",org)</f>
        <v>ООО "Ноябрьская ПГЭ"</v>
      </c>
      <c r="T27" s="2696"/>
      <c r="U27" s="2696"/>
      <c r="V27" s="2696"/>
      <c r="W27" s="2696"/>
      <c r="X27" s="2696"/>
      <c r="Y27" s="2696"/>
      <c r="Z27" s="2696"/>
      <c r="AA27" s="2696"/>
      <c r="AB27" s="2696"/>
      <c r="AC27" s="2696"/>
      <c r="AD27" s="2696"/>
      <c r="AE27" s="2696"/>
      <c r="AF27" s="2696"/>
      <c r="AG27" s="2696"/>
      <c r="AH27" s="2696"/>
      <c r="AI27" s="2696"/>
      <c r="AJ27" s="2696"/>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529" customFormat="1" ht="25.5" hidden="1" customHeight="1">
      <c r="A29" s="1286"/>
      <c r="B29" s="1286"/>
      <c r="C29" s="1286"/>
      <c r="D29" s="1286"/>
      <c r="E29" s="1286"/>
      <c r="F29" s="1286"/>
      <c r="G29" s="1286"/>
      <c r="H29" s="1286"/>
      <c r="I29" s="1286"/>
      <c r="J29" s="1286"/>
      <c r="K29" s="1286"/>
      <c r="L29" s="1287"/>
      <c r="M29" s="1286"/>
      <c r="N29" s="1286"/>
      <c r="O29" s="1286"/>
      <c r="S29" s="2772" t="s">
        <v>42</v>
      </c>
      <c r="T29" s="2772"/>
      <c r="U29" s="1290"/>
      <c r="V29" s="2754" t="str">
        <f>IF(TITLE_NAME_OR_PR_CHANGE="",IF(TITLE_NAME_OR_PR="","",TITLE_NAME_OR_PR),TITLE_NAME_OR_PR_CHANGE)</f>
        <v/>
      </c>
      <c r="W29" s="2754"/>
      <c r="X29" s="2754"/>
      <c r="Y29" s="2754"/>
      <c r="Z29" s="2754"/>
      <c r="AA29" s="2754"/>
      <c r="AB29" s="2754"/>
      <c r="AC29" s="262"/>
      <c r="AD29" s="2754" t="str">
        <f>IF(TITLE_NAME_OR_PR_CHANGE="",IF(TITLE_NAME_OR_PR="","",TITLE_NAME_OR_PR),TITLE_NAME_OR_PR_CHANGE)</f>
        <v/>
      </c>
      <c r="AE29" s="2754"/>
      <c r="AF29" s="2754"/>
      <c r="AG29" s="2754"/>
      <c r="AH29" s="2754"/>
      <c r="AI29" s="2754"/>
      <c r="AJ29" s="2754"/>
      <c r="AK29" s="262"/>
      <c r="AL29" s="262"/>
      <c r="AM29" s="216"/>
      <c r="AN29" s="303"/>
      <c r="AO29" s="303"/>
      <c r="AP29" s="303"/>
      <c r="AQ29" s="303"/>
      <c r="AR29" s="303"/>
      <c r="AS29" s="353">
        <v>0</v>
      </c>
    </row>
    <row r="30" spans="1:45" s="2529" customFormat="1" ht="18.75" hidden="1" customHeight="1">
      <c r="A30" s="1286"/>
      <c r="B30" s="1286"/>
      <c r="C30" s="1286"/>
      <c r="D30" s="1286"/>
      <c r="E30" s="1286"/>
      <c r="F30" s="1286"/>
      <c r="G30" s="1286"/>
      <c r="H30" s="1286"/>
      <c r="I30" s="1286"/>
      <c r="J30" s="1286"/>
      <c r="K30" s="1286"/>
      <c r="L30" s="1287"/>
      <c r="M30" s="1286"/>
      <c r="N30" s="1286"/>
      <c r="O30" s="1286"/>
      <c r="S30" s="2772" t="s">
        <v>422</v>
      </c>
      <c r="T30" s="2772"/>
      <c r="U30" s="1290"/>
      <c r="V30" s="2755">
        <f>IF(TITLE_DATE_PR_CHANGE="",IF(TITLE_DATE_PR="","",TITLE_DATE_PR),TITLE_DATE_PR_CHANGE)</f>
        <v>45583</v>
      </c>
      <c r="W30" s="2755"/>
      <c r="X30" s="2755"/>
      <c r="Y30" s="2755"/>
      <c r="Z30" s="2755"/>
      <c r="AA30" s="2755"/>
      <c r="AB30" s="2755"/>
      <c r="AC30" s="262"/>
      <c r="AD30" s="2755">
        <f>IF(TITLE_DATE_PR_CHANGE="",IF(TITLE_DATE_PR="","",TITLE_DATE_PR),TITLE_DATE_PR_CHANGE)</f>
        <v>45583</v>
      </c>
      <c r="AE30" s="2755"/>
      <c r="AF30" s="2755"/>
      <c r="AG30" s="2755"/>
      <c r="AH30" s="2755"/>
      <c r="AI30" s="2755"/>
      <c r="AJ30" s="2755"/>
      <c r="AK30" s="262"/>
      <c r="AL30" s="262"/>
      <c r="AM30" s="216"/>
      <c r="AN30" s="303"/>
      <c r="AO30" s="303"/>
      <c r="AP30" s="303"/>
      <c r="AQ30" s="303"/>
      <c r="AR30" s="303"/>
      <c r="AS30" s="353">
        <v>0</v>
      </c>
    </row>
    <row r="31" spans="1:45" s="2529" customFormat="1" ht="18.75" hidden="1" customHeight="1">
      <c r="A31" s="1286"/>
      <c r="B31" s="1286"/>
      <c r="C31" s="1286"/>
      <c r="D31" s="1286"/>
      <c r="E31" s="1286"/>
      <c r="F31" s="1286"/>
      <c r="G31" s="1286"/>
      <c r="H31" s="1286"/>
      <c r="I31" s="1286"/>
      <c r="J31" s="1286"/>
      <c r="K31" s="1286"/>
      <c r="L31" s="1287"/>
      <c r="M31" s="1286"/>
      <c r="N31" s="1286"/>
      <c r="O31" s="1286"/>
      <c r="S31" s="2772" t="s">
        <v>423</v>
      </c>
      <c r="T31" s="2772"/>
      <c r="U31" s="1290"/>
      <c r="V31" s="2754" t="str">
        <f>IF(TITLE_NUMBER_PR_CHANGE="",IF(TITLE_NUMBER_PR="","",TITLE_NUMBER_PR),TITLE_NUMBER_PR_CHANGE)</f>
        <v>18-3341</v>
      </c>
      <c r="W31" s="2754"/>
      <c r="X31" s="2754"/>
      <c r="Y31" s="2754"/>
      <c r="Z31" s="2754"/>
      <c r="AA31" s="2754"/>
      <c r="AB31" s="2754"/>
      <c r="AC31" s="262"/>
      <c r="AD31" s="2754" t="str">
        <f>IF(TITLE_NUMBER_PR_CHANGE="",IF(TITLE_NUMBER_PR="","",TITLE_NUMBER_PR),TITLE_NUMBER_PR_CHANGE)</f>
        <v>18-3341</v>
      </c>
      <c r="AE31" s="2754"/>
      <c r="AF31" s="2754"/>
      <c r="AG31" s="2754"/>
      <c r="AH31" s="2754"/>
      <c r="AI31" s="2754"/>
      <c r="AJ31" s="2754"/>
      <c r="AK31" s="262"/>
      <c r="AL31" s="262"/>
      <c r="AM31" s="216"/>
      <c r="AN31" s="303"/>
      <c r="AO31" s="303"/>
      <c r="AP31" s="303"/>
      <c r="AQ31" s="303"/>
      <c r="AR31" s="303"/>
      <c r="AS31" s="353">
        <v>0</v>
      </c>
    </row>
    <row r="32" spans="1:45" s="2529" customFormat="1" ht="18.75" hidden="1" customHeight="1">
      <c r="A32" s="1286"/>
      <c r="B32" s="1286"/>
      <c r="C32" s="1286"/>
      <c r="D32" s="1286"/>
      <c r="E32" s="1286"/>
      <c r="F32" s="1286"/>
      <c r="G32" s="1286"/>
      <c r="H32" s="1286"/>
      <c r="I32" s="1286"/>
      <c r="J32" s="1286"/>
      <c r="K32" s="1286"/>
      <c r="L32" s="1287"/>
      <c r="M32" s="1286"/>
      <c r="N32" s="1286"/>
      <c r="O32" s="1286"/>
      <c r="S32" s="2772" t="s">
        <v>43</v>
      </c>
      <c r="T32" s="2772"/>
      <c r="U32" s="1290"/>
      <c r="V32" s="2754" t="str">
        <f>IF(TITLE_IST_PUB_CHANGE="",IF(TITLE_IST_PUB="","",TITLE_IST_PUB),TITLE_IST_PUB_CHANGE)</f>
        <v/>
      </c>
      <c r="W32" s="2754"/>
      <c r="X32" s="2754"/>
      <c r="Y32" s="2754"/>
      <c r="Z32" s="2754"/>
      <c r="AA32" s="2754"/>
      <c r="AB32" s="2754"/>
      <c r="AC32" s="262"/>
      <c r="AD32" s="2754" t="str">
        <f>IF(TITLE_IST_PUB_CHANGE="",IF(TITLE_IST_PUB="","",TITLE_IST_PUB),TITLE_IST_PUB_CHANGE)</f>
        <v/>
      </c>
      <c r="AE32" s="2754"/>
      <c r="AF32" s="2754"/>
      <c r="AG32" s="2754"/>
      <c r="AH32" s="2754"/>
      <c r="AI32" s="2754"/>
      <c r="AJ32" s="2754"/>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529" customFormat="1" ht="18.75" customHeight="1">
      <c r="A34" s="1286"/>
      <c r="B34" s="1286"/>
      <c r="C34" s="1286"/>
      <c r="D34" s="1286"/>
      <c r="E34" s="1286"/>
      <c r="F34" s="1286"/>
      <c r="G34" s="1286"/>
      <c r="H34" s="1286"/>
      <c r="I34" s="1286"/>
      <c r="J34" s="1286"/>
      <c r="K34" s="1286"/>
      <c r="L34" s="1287"/>
      <c r="M34" s="1286"/>
      <c r="N34" s="1286"/>
      <c r="O34" s="1286"/>
      <c r="S34" s="2772" t="s">
        <v>424</v>
      </c>
      <c r="T34" s="2772"/>
      <c r="U34" s="1290"/>
      <c r="V34" s="2755">
        <f>IF(TITLE_DATE_PR_CHANGE="",IF(TITLE_DATE_PR="","",TITLE_DATE_PR),TITLE_DATE_PR_CHANGE)</f>
        <v>45583</v>
      </c>
      <c r="W34" s="2755"/>
      <c r="X34" s="2755"/>
      <c r="Y34" s="2755"/>
      <c r="Z34" s="2755"/>
      <c r="AA34" s="2755"/>
      <c r="AB34" s="2755"/>
      <c r="AC34" s="262"/>
      <c r="AD34" s="2755">
        <f>IF(TITLE_DATE_PR_CHANGE="",IF(TITLE_DATE_PR="","",TITLE_DATE_PR),TITLE_DATE_PR_CHANGE)</f>
        <v>45583</v>
      </c>
      <c r="AE34" s="2755"/>
      <c r="AF34" s="2755"/>
      <c r="AG34" s="2755"/>
      <c r="AH34" s="2755"/>
      <c r="AI34" s="2755"/>
      <c r="AJ34" s="2755"/>
      <c r="AK34" s="262"/>
      <c r="AL34" s="262"/>
      <c r="AM34" s="216"/>
      <c r="AN34" s="303"/>
      <c r="AO34" s="303"/>
      <c r="AP34" s="303"/>
      <c r="AQ34" s="303"/>
      <c r="AR34" s="303"/>
      <c r="AS34" s="353">
        <v>0</v>
      </c>
    </row>
    <row r="35" spans="1:45" s="2529" customFormat="1" ht="18.75" customHeight="1">
      <c r="A35" s="1286"/>
      <c r="B35" s="1286"/>
      <c r="C35" s="1286"/>
      <c r="D35" s="1286"/>
      <c r="E35" s="1286"/>
      <c r="F35" s="1286"/>
      <c r="G35" s="1286"/>
      <c r="H35" s="1286"/>
      <c r="I35" s="1286"/>
      <c r="J35" s="1286"/>
      <c r="K35" s="1286"/>
      <c r="L35" s="1287"/>
      <c r="M35" s="1286"/>
      <c r="N35" s="1286"/>
      <c r="O35" s="1286"/>
      <c r="S35" s="2772" t="s">
        <v>425</v>
      </c>
      <c r="T35" s="2772"/>
      <c r="U35" s="1290"/>
      <c r="V35" s="2754" t="str">
        <f>IF(TITLE_NUMBER_PR_CHANGE="",IF(TITLE_NUMBER_PR="","",TITLE_NUMBER_PR),TITLE_NUMBER_PR_CHANGE)</f>
        <v>18-3341</v>
      </c>
      <c r="W35" s="2754"/>
      <c r="X35" s="2754"/>
      <c r="Y35" s="2754"/>
      <c r="Z35" s="2754"/>
      <c r="AA35" s="2754"/>
      <c r="AB35" s="2754"/>
      <c r="AC35" s="262"/>
      <c r="AD35" s="2754" t="str">
        <f>IF(TITLE_NUMBER_PR_CHANGE="",IF(TITLE_NUMBER_PR="","",TITLE_NUMBER_PR),TITLE_NUMBER_PR_CHANGE)</f>
        <v>18-3341</v>
      </c>
      <c r="AE35" s="2754"/>
      <c r="AF35" s="2754"/>
      <c r="AG35" s="2754"/>
      <c r="AH35" s="2754"/>
      <c r="AI35" s="2754"/>
      <c r="AJ35" s="2754"/>
      <c r="AK35" s="262"/>
      <c r="AL35" s="262"/>
      <c r="AM35" s="216"/>
      <c r="AN35" s="303"/>
      <c r="AO35" s="303"/>
      <c r="AP35" s="303"/>
      <c r="AQ35" s="303"/>
      <c r="AR35" s="303"/>
      <c r="AS35" s="353">
        <v>0</v>
      </c>
    </row>
    <row r="36" spans="1:45" s="2529"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65" customHeight="1">
      <c r="Q37" s="311"/>
      <c r="R37" s="311"/>
      <c r="S37" s="1193"/>
      <c r="T37" s="298"/>
      <c r="U37" s="1162"/>
      <c r="V37" s="2756"/>
      <c r="W37" s="2756"/>
      <c r="X37" s="2756"/>
      <c r="Y37" s="2756"/>
      <c r="Z37" s="2756"/>
      <c r="AA37" s="2756"/>
      <c r="AB37" s="2756"/>
      <c r="AC37" s="2756"/>
      <c r="AD37" s="2756"/>
      <c r="AE37" s="2756"/>
      <c r="AF37" s="2756"/>
      <c r="AG37" s="2756"/>
      <c r="AH37" s="2756"/>
      <c r="AI37" s="2756"/>
      <c r="AJ37" s="2756"/>
      <c r="AK37" s="2756"/>
      <c r="AS37" s="1073">
        <v>14</v>
      </c>
    </row>
    <row r="38" spans="1:45" ht="14.65" customHeight="1">
      <c r="Q38" s="311"/>
      <c r="R38" s="311"/>
      <c r="S38" s="2638" t="s">
        <v>302</v>
      </c>
      <c r="T38" s="2638"/>
      <c r="U38" s="2638"/>
      <c r="V38" s="2638"/>
      <c r="W38" s="2638"/>
      <c r="X38" s="2638"/>
      <c r="Y38" s="2638"/>
      <c r="Z38" s="2638"/>
      <c r="AA38" s="2638"/>
      <c r="AB38" s="2638"/>
      <c r="AC38" s="2638"/>
      <c r="AD38" s="2638"/>
      <c r="AE38" s="2638"/>
      <c r="AF38" s="2638"/>
      <c r="AG38" s="2638"/>
      <c r="AH38" s="2638"/>
      <c r="AI38" s="2638"/>
      <c r="AJ38" s="2638"/>
      <c r="AK38" s="2638"/>
      <c r="AL38" s="2638"/>
      <c r="AM38" s="2638" t="s">
        <v>303</v>
      </c>
      <c r="AS38" s="1073">
        <v>14</v>
      </c>
    </row>
    <row r="39" spans="1:45" ht="14.65" customHeight="1">
      <c r="Q39" s="311"/>
      <c r="R39" s="311"/>
      <c r="S39" s="2782" t="s">
        <v>87</v>
      </c>
      <c r="T39" s="2724" t="s">
        <v>428</v>
      </c>
      <c r="U39" s="237"/>
      <c r="V39" s="2757" t="s">
        <v>429</v>
      </c>
      <c r="W39" s="2758"/>
      <c r="X39" s="2758"/>
      <c r="Y39" s="2758"/>
      <c r="Z39" s="2758"/>
      <c r="AA39" s="2758"/>
      <c r="AB39" s="2759"/>
      <c r="AC39" s="2760" t="s">
        <v>430</v>
      </c>
      <c r="AD39" s="2757" t="s">
        <v>429</v>
      </c>
      <c r="AE39" s="2758"/>
      <c r="AF39" s="2758"/>
      <c r="AG39" s="2758"/>
      <c r="AH39" s="2758"/>
      <c r="AI39" s="2758"/>
      <c r="AJ39" s="2759"/>
      <c r="AK39" s="2760" t="s">
        <v>431</v>
      </c>
      <c r="AL39" s="2783" t="s">
        <v>432</v>
      </c>
      <c r="AM39" s="2638"/>
      <c r="AS39" s="1073">
        <v>14</v>
      </c>
    </row>
    <row r="40" spans="1:45" ht="35.65" customHeight="1">
      <c r="Q40" s="311"/>
      <c r="R40" s="311"/>
      <c r="S40" s="2782"/>
      <c r="T40" s="2724"/>
      <c r="U40" s="953"/>
      <c r="V40" s="2695" t="s">
        <v>433</v>
      </c>
      <c r="W40" s="2763" t="s">
        <v>434</v>
      </c>
      <c r="X40" s="2610" t="s">
        <v>435</v>
      </c>
      <c r="Y40" s="2609"/>
      <c r="Z40" s="2610" t="s">
        <v>451</v>
      </c>
      <c r="AA40" s="2615"/>
      <c r="AB40" s="2609"/>
      <c r="AC40" s="2761"/>
      <c r="AD40" s="2695" t="s">
        <v>433</v>
      </c>
      <c r="AE40" s="2763" t="s">
        <v>434</v>
      </c>
      <c r="AF40" s="2610" t="s">
        <v>435</v>
      </c>
      <c r="AG40" s="2609"/>
      <c r="AH40" s="2610" t="s">
        <v>436</v>
      </c>
      <c r="AI40" s="2615"/>
      <c r="AJ40" s="2609"/>
      <c r="AK40" s="2761"/>
      <c r="AL40" s="2784"/>
      <c r="AM40" s="2638"/>
      <c r="AS40" s="1073">
        <v>34</v>
      </c>
    </row>
    <row r="41" spans="1:45" ht="35.65" customHeight="1">
      <c r="A41" s="1288"/>
      <c r="B41" s="1288" t="s">
        <v>134</v>
      </c>
      <c r="C41" s="1288" t="s">
        <v>135</v>
      </c>
      <c r="D41" s="1288" t="s">
        <v>136</v>
      </c>
      <c r="E41" s="1282" t="s">
        <v>437</v>
      </c>
      <c r="F41" s="1282" t="s">
        <v>438</v>
      </c>
      <c r="G41" s="1282" t="s">
        <v>439</v>
      </c>
      <c r="H41" s="1282" t="s">
        <v>440</v>
      </c>
      <c r="I41" s="1282" t="s">
        <v>441</v>
      </c>
      <c r="J41" s="1282" t="s">
        <v>442</v>
      </c>
      <c r="K41" s="1282" t="s">
        <v>443</v>
      </c>
      <c r="L41" s="1282" t="s">
        <v>417</v>
      </c>
      <c r="Q41" s="311"/>
      <c r="R41" s="311"/>
      <c r="S41" s="2782"/>
      <c r="T41" s="2724"/>
      <c r="U41" s="238"/>
      <c r="V41" s="2744"/>
      <c r="W41" s="2764"/>
      <c r="X41" s="1140" t="s">
        <v>444</v>
      </c>
      <c r="Y41" s="1140" t="s">
        <v>445</v>
      </c>
      <c r="Z41" s="1256" t="s">
        <v>446</v>
      </c>
      <c r="AA41" s="2733" t="s">
        <v>447</v>
      </c>
      <c r="AB41" s="2735"/>
      <c r="AC41" s="2762"/>
      <c r="AD41" s="2744"/>
      <c r="AE41" s="2764"/>
      <c r="AF41" s="1140" t="s">
        <v>444</v>
      </c>
      <c r="AG41" s="1140" t="s">
        <v>445</v>
      </c>
      <c r="AH41" s="1256" t="s">
        <v>446</v>
      </c>
      <c r="AI41" s="2733" t="s">
        <v>447</v>
      </c>
      <c r="AJ41" s="2735"/>
      <c r="AK41" s="2762"/>
      <c r="AL41" s="2785"/>
      <c r="AM41" s="2638"/>
      <c r="AS41" s="1073">
        <v>34</v>
      </c>
    </row>
    <row r="42" spans="1:45" s="254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108</v>
      </c>
      <c r="T42" s="1173" t="s">
        <v>109</v>
      </c>
      <c r="U42" s="1163" t="str">
        <f ca="1">OFFSET(U42,0,-1)</f>
        <v>2</v>
      </c>
      <c r="V42" s="1253">
        <f ca="1">OFFSET(V42,0,-1)+1</f>
        <v>3</v>
      </c>
      <c r="W42" s="1253"/>
      <c r="X42" s="1253">
        <f ca="1">OFFSET(X42,0,-1)+1</f>
        <v>1</v>
      </c>
      <c r="Y42" s="1253">
        <f ca="1">OFFSET(Y42,0,-1)+1</f>
        <v>2</v>
      </c>
      <c r="Z42" s="1253">
        <f ca="1">OFFSET(Z42,0,-1)+1</f>
        <v>3</v>
      </c>
      <c r="AA42" s="2765">
        <f ca="1">OFFSET(AA42,0,-1)+1</f>
        <v>4</v>
      </c>
      <c r="AB42" s="2765"/>
      <c r="AC42" s="1253">
        <f ca="1">OFFSET(AC42,0,-2)+1</f>
        <v>5</v>
      </c>
      <c r="AD42" s="1253">
        <f ca="1">OFFSET(AD42,0,-1)+1</f>
        <v>6</v>
      </c>
      <c r="AE42" s="1253"/>
      <c r="AF42" s="1253">
        <f ca="1">OFFSET(AF42,0,-1)+1</f>
        <v>1</v>
      </c>
      <c r="AG42" s="1253">
        <f ca="1">OFFSET(AG42,0,-1)+1</f>
        <v>2</v>
      </c>
      <c r="AH42" s="1253">
        <f ca="1">OFFSET(AH42,0,-1)+1</f>
        <v>3</v>
      </c>
      <c r="AI42" s="2765">
        <f ca="1">OFFSET(AI42,0,-1)+1</f>
        <v>4</v>
      </c>
      <c r="AJ42" s="2765"/>
      <c r="AK42" s="1253">
        <f ca="1">OFFSET(AK42,0,-2)+1</f>
        <v>5</v>
      </c>
      <c r="AL42" s="1163">
        <f ca="1">OFFSET(AL42,0,-1)</f>
        <v>5</v>
      </c>
      <c r="AM42" s="1253">
        <f ca="1">OFFSET(AM42,0,-1)+1</f>
        <v>6</v>
      </c>
      <c r="AN42" s="446"/>
      <c r="AO42" s="446"/>
      <c r="AP42" s="446"/>
      <c r="AQ42" s="446"/>
      <c r="AR42" s="446"/>
      <c r="AS42" s="431">
        <v>0</v>
      </c>
    </row>
    <row r="43" spans="1:45" ht="21.95" customHeight="1">
      <c r="A43" s="1281" t="s">
        <v>166</v>
      </c>
      <c r="B43" s="1281"/>
      <c r="C43" s="1281"/>
      <c r="D43" s="1281"/>
      <c r="E43" s="2778">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122</v>
      </c>
      <c r="U43" s="236"/>
      <c r="V43" s="2766"/>
      <c r="W43" s="2767"/>
      <c r="X43" s="2767"/>
      <c r="Y43" s="2767"/>
      <c r="Z43" s="2767"/>
      <c r="AA43" s="2767"/>
      <c r="AB43" s="2767"/>
      <c r="AC43" s="2768"/>
      <c r="AD43" s="2766" t="str">
        <f>INDEX(PT_DIFFERENTIATION_NTAR,MATCH(A43,PT_DIFFERENTIATION_NTAR_ID,0))</f>
        <v/>
      </c>
      <c r="AE43" s="2767"/>
      <c r="AF43" s="2767"/>
      <c r="AG43" s="2767"/>
      <c r="AH43" s="2767"/>
      <c r="AI43" s="2767"/>
      <c r="AJ43" s="2767"/>
      <c r="AK43" s="2767"/>
      <c r="AL43" s="276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166</v>
      </c>
      <c r="B44" s="1281" t="s">
        <v>167</v>
      </c>
      <c r="C44" s="1281"/>
      <c r="D44" s="1281"/>
      <c r="E44" s="2779"/>
      <c r="F44" s="2778">
        <v>1</v>
      </c>
      <c r="G44" s="1281"/>
      <c r="H44" s="1281"/>
      <c r="I44" s="1281"/>
      <c r="J44" s="1281"/>
      <c r="K44" s="1281"/>
      <c r="L44" s="1282"/>
      <c r="M44" s="1283"/>
      <c r="N44" s="1283"/>
      <c r="O44" s="1283"/>
      <c r="P44" s="1250"/>
      <c r="Q44" s="287"/>
      <c r="R44" s="288"/>
      <c r="S44" s="1254" t="str">
        <f>INDEX(PT_DIFFERENTIATION_NUM_TER,MATCH(B44,PT_DIFFERENTIATION_TER_ID,0))</f>
        <v>.</v>
      </c>
      <c r="T44" s="244" t="s">
        <v>399</v>
      </c>
      <c r="U44" s="236"/>
      <c r="V44" s="2766"/>
      <c r="W44" s="2767"/>
      <c r="X44" s="2767"/>
      <c r="Y44" s="2767"/>
      <c r="Z44" s="2767"/>
      <c r="AA44" s="2767"/>
      <c r="AB44" s="2767"/>
      <c r="AC44" s="2768"/>
      <c r="AD44" s="2766" t="str">
        <f>INDEX(PT_DIFFERENTIATION_TER,MATCH(B44,PT_DIFFERENTIATION_TER_ID,0))</f>
        <v/>
      </c>
      <c r="AE44" s="2767"/>
      <c r="AF44" s="2767"/>
      <c r="AG44" s="2767"/>
      <c r="AH44" s="2767"/>
      <c r="AI44" s="2767"/>
      <c r="AJ44" s="2767"/>
      <c r="AK44" s="2767"/>
      <c r="AL44" s="2768"/>
      <c r="AM44" s="1176" t="s">
        <v>400</v>
      </c>
      <c r="AO44" s="435"/>
      <c r="AP44" s="435" t="str">
        <f t="shared" si="1"/>
        <v>Территория действия тарифа</v>
      </c>
      <c r="AQ44" s="435"/>
      <c r="AR44" s="435"/>
      <c r="AS44" s="1073">
        <v>21</v>
      </c>
    </row>
    <row r="45" spans="1:45" ht="24" customHeight="1">
      <c r="A45" s="1281" t="s">
        <v>166</v>
      </c>
      <c r="B45" s="1281" t="s">
        <v>167</v>
      </c>
      <c r="C45" s="1281" t="s">
        <v>168</v>
      </c>
      <c r="D45" s="1281"/>
      <c r="E45" s="2779"/>
      <c r="F45" s="2779"/>
      <c r="G45" s="2778">
        <v>1</v>
      </c>
      <c r="H45" s="1281"/>
      <c r="I45" s="1281"/>
      <c r="J45" s="1281"/>
      <c r="K45" s="1281"/>
      <c r="L45" s="1282"/>
      <c r="M45" s="1283"/>
      <c r="N45" s="1283"/>
      <c r="O45" s="1283"/>
      <c r="P45" s="289"/>
      <c r="Q45" s="287"/>
      <c r="R45" s="288"/>
      <c r="S45" s="1254" t="str">
        <f>INDEX(PT_DIFFERENTIATION_NUM_CS,MATCH(C45,PT_DIFFERENTIATION_CS_ID,0))</f>
        <v>..</v>
      </c>
      <c r="T45" s="245" t="s">
        <v>401</v>
      </c>
      <c r="U45" s="236"/>
      <c r="V45" s="2766"/>
      <c r="W45" s="2767"/>
      <c r="X45" s="2767"/>
      <c r="Y45" s="2767"/>
      <c r="Z45" s="2767"/>
      <c r="AA45" s="2767"/>
      <c r="AB45" s="2767"/>
      <c r="AC45" s="2768"/>
      <c r="AD45" s="2766" t="str">
        <f>INDEX(PT_DIFFERENTIATION_CS,MATCH(C45,PT_DIFFERENTIATION_CS_ID,0))</f>
        <v/>
      </c>
      <c r="AE45" s="2767"/>
      <c r="AF45" s="2767"/>
      <c r="AG45" s="2767"/>
      <c r="AH45" s="2767"/>
      <c r="AI45" s="2767"/>
      <c r="AJ45" s="2767"/>
      <c r="AK45" s="2767"/>
      <c r="AL45" s="2768"/>
      <c r="AM45" s="1176" t="s">
        <v>402</v>
      </c>
      <c r="AO45" s="435"/>
      <c r="AP45" s="435" t="str">
        <f t="shared" si="1"/>
        <v xml:space="preserve">Наименование системы теплоснабжения </v>
      </c>
      <c r="AQ45" s="435"/>
      <c r="AR45" s="435"/>
      <c r="AS45" s="1073">
        <v>23</v>
      </c>
    </row>
    <row r="46" spans="1:45" ht="21.95" customHeight="1">
      <c r="A46" s="1281" t="s">
        <v>166</v>
      </c>
      <c r="B46" s="1281" t="s">
        <v>167</v>
      </c>
      <c r="C46" s="1281" t="s">
        <v>168</v>
      </c>
      <c r="D46" s="1281" t="s">
        <v>169</v>
      </c>
      <c r="E46" s="2779"/>
      <c r="F46" s="2779"/>
      <c r="G46" s="2779"/>
      <c r="H46" s="2778">
        <v>1</v>
      </c>
      <c r="I46" s="1281"/>
      <c r="J46" s="1281"/>
      <c r="K46" s="1281"/>
      <c r="L46" s="1282"/>
      <c r="M46" s="1283"/>
      <c r="N46" s="1283"/>
      <c r="O46" s="1283"/>
      <c r="P46" s="289"/>
      <c r="Q46" s="287"/>
      <c r="R46" s="288"/>
      <c r="S46" s="1254" t="str">
        <f>INDEX(PT_DIFFERENTIATION_NUM_IST_TE,MATCH(D46,PT_DIFFERENTIATION_IST_TE_ID,0))</f>
        <v>...</v>
      </c>
      <c r="T46" s="246" t="s">
        <v>403</v>
      </c>
      <c r="U46" s="236"/>
      <c r="V46" s="2766"/>
      <c r="W46" s="2767"/>
      <c r="X46" s="2767"/>
      <c r="Y46" s="2767"/>
      <c r="Z46" s="2767"/>
      <c r="AA46" s="2767"/>
      <c r="AB46" s="2767"/>
      <c r="AC46" s="2768"/>
      <c r="AD46" s="2766" t="str">
        <f>INDEX(PT_DIFFERENTIATION_IST_TE,MATCH(D46,PT_DIFFERENTIATION_IST_TE_ID,0))</f>
        <v/>
      </c>
      <c r="AE46" s="2767"/>
      <c r="AF46" s="2767"/>
      <c r="AG46" s="2767"/>
      <c r="AH46" s="2767"/>
      <c r="AI46" s="2767"/>
      <c r="AJ46" s="2767"/>
      <c r="AK46" s="2767"/>
      <c r="AL46" s="2768"/>
      <c r="AM46" s="1176" t="s">
        <v>404</v>
      </c>
      <c r="AO46" s="435"/>
      <c r="AP46" s="435" t="str">
        <f t="shared" si="1"/>
        <v xml:space="preserve">Источник тепловой энергии  </v>
      </c>
      <c r="AQ46" s="435"/>
      <c r="AR46" s="435"/>
      <c r="AS46" s="1073">
        <v>21</v>
      </c>
    </row>
    <row r="47" spans="1:45" ht="49.5" customHeight="1">
      <c r="A47" s="1281" t="s">
        <v>166</v>
      </c>
      <c r="B47" s="1281" t="s">
        <v>167</v>
      </c>
      <c r="C47" s="1281" t="s">
        <v>168</v>
      </c>
      <c r="D47" s="1281" t="s">
        <v>169</v>
      </c>
      <c r="E47" s="2779"/>
      <c r="F47" s="2779"/>
      <c r="G47" s="2779"/>
      <c r="H47" s="2779"/>
      <c r="I47" s="2776" t="str">
        <f>S46&amp;".1"</f>
        <v>....1</v>
      </c>
      <c r="J47" s="1281"/>
      <c r="K47" s="1281"/>
      <c r="L47" s="1282" t="s">
        <v>405</v>
      </c>
      <c r="P47" s="2777">
        <v>1</v>
      </c>
      <c r="Q47" s="1249"/>
      <c r="R47" s="291"/>
      <c r="S47" s="1254" t="str">
        <f>$I47</f>
        <v>....1</v>
      </c>
      <c r="T47" s="221" t="s">
        <v>406</v>
      </c>
      <c r="U47" s="236"/>
      <c r="V47" s="2769"/>
      <c r="W47" s="2770"/>
      <c r="X47" s="2770"/>
      <c r="Y47" s="2770"/>
      <c r="Z47" s="2770"/>
      <c r="AA47" s="2770"/>
      <c r="AB47" s="2770"/>
      <c r="AC47" s="2771"/>
      <c r="AD47" s="2769"/>
      <c r="AE47" s="2770"/>
      <c r="AF47" s="2770"/>
      <c r="AG47" s="2770"/>
      <c r="AH47" s="2770"/>
      <c r="AI47" s="2770"/>
      <c r="AJ47" s="2770"/>
      <c r="AK47" s="2770"/>
      <c r="AL47" s="2771"/>
      <c r="AM47" s="1176" t="s">
        <v>407</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166</v>
      </c>
      <c r="B48" s="1281" t="s">
        <v>167</v>
      </c>
      <c r="C48" s="1281" t="s">
        <v>168</v>
      </c>
      <c r="D48" s="1281" t="s">
        <v>169</v>
      </c>
      <c r="E48" s="2779"/>
      <c r="F48" s="2779"/>
      <c r="G48" s="2779"/>
      <c r="H48" s="2779"/>
      <c r="I48" s="2787"/>
      <c r="J48" s="2776" t="str">
        <f>I47&amp;".1"</f>
        <v>....1.1</v>
      </c>
      <c r="K48" s="1281"/>
      <c r="L48" s="1282" t="s">
        <v>408</v>
      </c>
      <c r="P48" s="2777"/>
      <c r="Q48" s="2777">
        <v>1</v>
      </c>
      <c r="R48" s="292"/>
      <c r="S48" s="1254" t="str">
        <f>$J48</f>
        <v>....1.1</v>
      </c>
      <c r="T48" s="222" t="s">
        <v>409</v>
      </c>
      <c r="U48" s="236"/>
      <c r="V48" s="2769"/>
      <c r="W48" s="2770"/>
      <c r="X48" s="2770"/>
      <c r="Y48" s="2770"/>
      <c r="Z48" s="2770"/>
      <c r="AA48" s="2770"/>
      <c r="AB48" s="2770"/>
      <c r="AC48" s="2771"/>
      <c r="AD48" s="2769"/>
      <c r="AE48" s="2770"/>
      <c r="AF48" s="2770"/>
      <c r="AG48" s="2770"/>
      <c r="AH48" s="2770"/>
      <c r="AI48" s="2770"/>
      <c r="AJ48" s="2770"/>
      <c r="AK48" s="2770"/>
      <c r="AL48" s="2771"/>
      <c r="AM48" s="1176" t="s">
        <v>410</v>
      </c>
      <c r="AO48" s="435"/>
      <c r="AP48" s="435" t="str">
        <f t="shared" si="1"/>
        <v>Группа потребителей</v>
      </c>
      <c r="AQ48" s="435"/>
      <c r="AR48" s="435"/>
      <c r="AS48" s="1073">
        <v>21</v>
      </c>
    </row>
    <row r="49" spans="1:45" ht="21.95" customHeight="1">
      <c r="A49" s="1281" t="s">
        <v>166</v>
      </c>
      <c r="B49" s="1281" t="s">
        <v>167</v>
      </c>
      <c r="C49" s="1281" t="s">
        <v>168</v>
      </c>
      <c r="D49" s="1281" t="s">
        <v>169</v>
      </c>
      <c r="E49" s="2779"/>
      <c r="F49" s="2779"/>
      <c r="G49" s="2779"/>
      <c r="H49" s="2779"/>
      <c r="I49" s="2787"/>
      <c r="J49" s="2787"/>
      <c r="K49" s="2776" t="str">
        <f>J48&amp;".1"</f>
        <v>....1.1.1</v>
      </c>
      <c r="L49" s="1282" t="s">
        <v>411</v>
      </c>
      <c r="P49" s="2777"/>
      <c r="Q49" s="2777"/>
      <c r="R49" s="292">
        <v>1</v>
      </c>
      <c r="S49" s="1254" t="str">
        <f>$K49</f>
        <v>....1.1.1</v>
      </c>
      <c r="T49" s="1265"/>
      <c r="U49" s="236"/>
      <c r="V49" s="686"/>
      <c r="W49" s="261"/>
      <c r="X49" s="686"/>
      <c r="Y49" s="1175"/>
      <c r="Z49" s="2753"/>
      <c r="AA49" s="2619" t="s">
        <v>66</v>
      </c>
      <c r="AB49" s="2753"/>
      <c r="AC49" s="2619" t="s">
        <v>66</v>
      </c>
      <c r="AD49" s="686"/>
      <c r="AE49" s="261"/>
      <c r="AF49" s="686"/>
      <c r="AG49" s="1175"/>
      <c r="AH49" s="2753"/>
      <c r="AI49" s="2619" t="s">
        <v>66</v>
      </c>
      <c r="AJ49" s="2788"/>
      <c r="AK49" s="2619" t="s">
        <v>66</v>
      </c>
      <c r="AL49" s="1266"/>
      <c r="AM49" s="2773" t="s">
        <v>412</v>
      </c>
      <c r="AN49" s="446" t="e">
        <f ca="1">STRCHECKDATE(V50:AL50)</f>
        <v>#NAME?</v>
      </c>
      <c r="AO49" s="435"/>
      <c r="AP49" s="435" t="str">
        <f t="shared" si="1"/>
        <v/>
      </c>
      <c r="AQ49" s="435"/>
      <c r="AR49" s="435"/>
      <c r="AS49" s="1073">
        <v>21</v>
      </c>
    </row>
    <row r="50" spans="1:45" ht="1.1499999999999999" customHeight="1">
      <c r="A50" s="1281" t="s">
        <v>166</v>
      </c>
      <c r="B50" s="1281" t="s">
        <v>167</v>
      </c>
      <c r="C50" s="1281" t="s">
        <v>168</v>
      </c>
      <c r="D50" s="1281" t="s">
        <v>169</v>
      </c>
      <c r="E50" s="2779"/>
      <c r="F50" s="2779"/>
      <c r="G50" s="2779"/>
      <c r="H50" s="2779"/>
      <c r="I50" s="2787"/>
      <c r="J50" s="2787"/>
      <c r="K50" s="2776"/>
      <c r="L50" s="1282"/>
      <c r="P50" s="2777"/>
      <c r="Q50" s="2777"/>
      <c r="R50" s="292"/>
      <c r="S50" s="1260"/>
      <c r="T50" s="236"/>
      <c r="U50" s="236"/>
      <c r="V50" s="261"/>
      <c r="W50" s="261"/>
      <c r="X50" s="261"/>
      <c r="Y50" s="264" t="str">
        <f>Z49&amp;"-"&amp;AB49</f>
        <v>-</v>
      </c>
      <c r="Z50" s="2752"/>
      <c r="AA50" s="2619"/>
      <c r="AB50" s="2752"/>
      <c r="AC50" s="2619"/>
      <c r="AD50" s="261"/>
      <c r="AE50" s="261"/>
      <c r="AF50" s="261"/>
      <c r="AG50" s="264" t="str">
        <f>AH49&amp;"-"&amp;AJ49</f>
        <v>-</v>
      </c>
      <c r="AH50" s="2752"/>
      <c r="AI50" s="2619"/>
      <c r="AJ50" s="2789"/>
      <c r="AK50" s="2619"/>
      <c r="AL50" s="1267"/>
      <c r="AM50" s="2774"/>
      <c r="AO50" s="435"/>
      <c r="AP50" s="435" t="str">
        <f t="shared" si="1"/>
        <v/>
      </c>
      <c r="AQ50" s="435"/>
      <c r="AR50" s="435"/>
      <c r="AS50" s="1073">
        <v>1</v>
      </c>
    </row>
    <row r="51" spans="1:45" ht="11.45" customHeight="1">
      <c r="A51" s="1281" t="s">
        <v>166</v>
      </c>
      <c r="B51" s="1281" t="s">
        <v>167</v>
      </c>
      <c r="C51" s="1281" t="s">
        <v>168</v>
      </c>
      <c r="D51" s="1281" t="s">
        <v>169</v>
      </c>
      <c r="E51" s="2779"/>
      <c r="F51" s="2779"/>
      <c r="G51" s="2779"/>
      <c r="H51" s="2779"/>
      <c r="I51" s="2787"/>
      <c r="J51" s="2776"/>
      <c r="K51" s="1281"/>
      <c r="L51" s="1282"/>
      <c r="P51" s="2777"/>
      <c r="Q51" s="2777"/>
      <c r="R51" s="291"/>
      <c r="S51" s="1196"/>
      <c r="T51" s="224" t="s">
        <v>413</v>
      </c>
      <c r="U51" s="302"/>
      <c r="V51" s="302"/>
      <c r="W51" s="302"/>
      <c r="X51" s="302"/>
      <c r="Y51" s="302"/>
      <c r="Z51" s="302"/>
      <c r="AA51" s="302"/>
      <c r="AB51" s="302"/>
      <c r="AC51" s="302"/>
      <c r="AD51" s="302"/>
      <c r="AE51" s="302"/>
      <c r="AF51" s="302"/>
      <c r="AG51" s="302"/>
      <c r="AH51" s="302"/>
      <c r="AI51" s="302"/>
      <c r="AJ51" s="302"/>
      <c r="AK51" s="302"/>
      <c r="AL51" s="260"/>
      <c r="AM51" s="2775"/>
      <c r="AO51" s="435"/>
      <c r="AP51" s="435" t="str">
        <f t="shared" si="1"/>
        <v>Добавить вид теплоносителя (параметры теплоносителя)</v>
      </c>
      <c r="AQ51" s="435"/>
      <c r="AR51" s="435"/>
      <c r="AS51" s="1073">
        <v>11</v>
      </c>
    </row>
    <row r="52" spans="1:45" ht="11.45" customHeight="1">
      <c r="A52" s="1281" t="s">
        <v>166</v>
      </c>
      <c r="B52" s="1281" t="s">
        <v>167</v>
      </c>
      <c r="C52" s="1281" t="s">
        <v>168</v>
      </c>
      <c r="D52" s="1281" t="s">
        <v>169</v>
      </c>
      <c r="E52" s="2779"/>
      <c r="F52" s="2779"/>
      <c r="G52" s="2779"/>
      <c r="H52" s="2779"/>
      <c r="I52" s="2776"/>
      <c r="J52" s="1281"/>
      <c r="K52" s="1281"/>
      <c r="L52" s="1282"/>
      <c r="P52" s="2777"/>
      <c r="Q52" s="1249"/>
      <c r="R52" s="291"/>
      <c r="S52" s="1196"/>
      <c r="T52" s="223" t="s">
        <v>414</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166</v>
      </c>
      <c r="B53" s="1281" t="s">
        <v>167</v>
      </c>
      <c r="C53" s="1281" t="s">
        <v>168</v>
      </c>
      <c r="D53" s="1281" t="s">
        <v>169</v>
      </c>
      <c r="E53" s="2779"/>
      <c r="F53" s="2779"/>
      <c r="G53" s="2779"/>
      <c r="H53" s="2778"/>
      <c r="I53" s="1281"/>
      <c r="J53" s="1281"/>
      <c r="K53" s="1281"/>
      <c r="L53" s="1282"/>
      <c r="M53" s="1283"/>
      <c r="N53" s="1283"/>
      <c r="O53" s="472"/>
      <c r="P53" s="295"/>
      <c r="Q53" s="310"/>
      <c r="R53" s="290"/>
      <c r="S53" s="1196"/>
      <c r="T53" s="300" t="s">
        <v>415</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520" customFormat="1" ht="1.1499999999999999" customHeight="1">
      <c r="A54" s="1261" t="s">
        <v>166</v>
      </c>
      <c r="B54" s="1261" t="s">
        <v>167</v>
      </c>
      <c r="C54" s="1261" t="s">
        <v>168</v>
      </c>
      <c r="D54" s="1232"/>
      <c r="E54" s="2779"/>
      <c r="F54" s="2779"/>
      <c r="G54" s="2778"/>
      <c r="H54" s="1232"/>
      <c r="I54" s="1232"/>
      <c r="J54" s="1232"/>
      <c r="K54" s="1232"/>
      <c r="L54" s="1257"/>
      <c r="M54" s="1233"/>
      <c r="N54" s="1233"/>
      <c r="P54" s="1234"/>
      <c r="Q54" s="1235"/>
      <c r="R54" s="1234"/>
      <c r="S54" s="1240"/>
      <c r="T54" s="1243" t="s">
        <v>160</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520" customFormat="1" ht="1.1499999999999999" customHeight="1">
      <c r="A55" s="1261" t="s">
        <v>166</v>
      </c>
      <c r="B55" s="1261" t="s">
        <v>167</v>
      </c>
      <c r="C55" s="1232"/>
      <c r="D55" s="1232"/>
      <c r="E55" s="2779"/>
      <c r="F55" s="2778"/>
      <c r="G55" s="1232"/>
      <c r="H55" s="1232"/>
      <c r="I55" s="1232"/>
      <c r="J55" s="1232"/>
      <c r="K55" s="1232"/>
      <c r="L55" s="1257"/>
      <c r="M55" s="1239"/>
      <c r="N55" s="1239"/>
      <c r="P55" s="1234"/>
      <c r="Q55" s="1235"/>
      <c r="R55" s="1234"/>
      <c r="S55" s="1240"/>
      <c r="T55" s="1243" t="s">
        <v>161</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520" customFormat="1" ht="1.1499999999999999" customHeight="1">
      <c r="A56" s="1261" t="s">
        <v>166</v>
      </c>
      <c r="B56" s="1261"/>
      <c r="C56" s="1261"/>
      <c r="D56" s="1261"/>
      <c r="E56" s="2778"/>
      <c r="F56" s="1261"/>
      <c r="G56" s="1261"/>
      <c r="H56" s="1261"/>
      <c r="I56" s="1261"/>
      <c r="J56" s="1261"/>
      <c r="K56" s="1261"/>
      <c r="L56" s="1264"/>
      <c r="M56" s="1239"/>
      <c r="N56" s="1239"/>
      <c r="O56" s="453"/>
      <c r="P56" s="315"/>
      <c r="Q56" s="1262"/>
      <c r="R56" s="315"/>
      <c r="S56" s="1240"/>
      <c r="T56" s="1243" t="s">
        <v>162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520"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786"/>
      <c r="U59" s="2786"/>
      <c r="V59" s="2786"/>
      <c r="W59" s="2786"/>
      <c r="X59" s="2786"/>
      <c r="Y59" s="2786"/>
      <c r="Z59" s="2786"/>
      <c r="AA59" s="2786"/>
      <c r="AB59" s="2786"/>
      <c r="AC59" s="2786"/>
      <c r="AD59" s="2786"/>
      <c r="AE59" s="2786"/>
      <c r="AF59" s="2786"/>
      <c r="AG59" s="2786"/>
      <c r="AH59" s="2786"/>
      <c r="AI59" s="2786"/>
      <c r="AJ59" s="2786"/>
      <c r="AK59" s="2786"/>
      <c r="AL59" s="2786"/>
      <c r="AM59" s="2786"/>
      <c r="AS59" s="1073">
        <v>27</v>
      </c>
    </row>
    <row r="60" spans="1:45" ht="65.25" customHeight="1">
      <c r="O60" s="472"/>
      <c r="T60" s="2786"/>
      <c r="U60" s="2786"/>
      <c r="V60" s="2786"/>
      <c r="W60" s="2786"/>
      <c r="X60" s="2786"/>
      <c r="Y60" s="2786"/>
      <c r="Z60" s="2786"/>
      <c r="AA60" s="2786"/>
      <c r="AB60" s="2786"/>
      <c r="AC60" s="2786"/>
      <c r="AD60" s="2786"/>
      <c r="AE60" s="2786"/>
      <c r="AF60" s="2786"/>
      <c r="AG60" s="2786"/>
      <c r="AH60" s="2786"/>
      <c r="AI60" s="2786"/>
      <c r="AJ60" s="2786"/>
      <c r="AK60" s="2786"/>
      <c r="AL60" s="2786"/>
      <c r="AM60" s="2786"/>
      <c r="AS60" s="1073">
        <v>62</v>
      </c>
    </row>
    <row r="61" spans="1:45" ht="14.65" customHeight="1">
      <c r="O61" s="472"/>
      <c r="AS61" s="1073">
        <v>14</v>
      </c>
    </row>
    <row r="62" spans="1:45" ht="18.75" customHeight="1">
      <c r="O62" s="472"/>
      <c r="S62" s="1171"/>
      <c r="T62" s="2786"/>
      <c r="U62" s="2786"/>
      <c r="V62" s="2786"/>
      <c r="W62" s="2786"/>
      <c r="X62" s="2786"/>
      <c r="Y62" s="2786"/>
      <c r="Z62" s="2786"/>
      <c r="AA62" s="2786"/>
      <c r="AB62" s="2786"/>
      <c r="AC62" s="2786"/>
      <c r="AD62" s="2786"/>
      <c r="AE62" s="2786"/>
      <c r="AF62" s="2786"/>
      <c r="AG62" s="2786"/>
      <c r="AH62" s="2786"/>
      <c r="AI62" s="2786"/>
      <c r="AJ62" s="2786"/>
      <c r="AK62" s="2786"/>
      <c r="AL62" s="2786"/>
      <c r="AM62" s="2786"/>
      <c r="AS62" s="1073">
        <v>18</v>
      </c>
    </row>
    <row r="63" spans="1:45" ht="18.75" customHeight="1">
      <c r="O63" s="472"/>
      <c r="T63" s="2786"/>
      <c r="U63" s="2786"/>
      <c r="V63" s="2786"/>
      <c r="W63" s="2786"/>
      <c r="X63" s="2786"/>
      <c r="Y63" s="2786"/>
      <c r="Z63" s="2786"/>
      <c r="AA63" s="2786"/>
      <c r="AB63" s="2786"/>
      <c r="AC63" s="2786"/>
      <c r="AD63" s="2786"/>
      <c r="AE63" s="2786"/>
      <c r="AF63" s="2786"/>
      <c r="AG63" s="2786"/>
      <c r="AH63" s="2786"/>
      <c r="AI63" s="2786"/>
      <c r="AJ63" s="2786"/>
      <c r="AK63" s="2786"/>
      <c r="AL63" s="2786"/>
      <c r="AM63" s="2786"/>
      <c r="AS63" s="1073">
        <v>18</v>
      </c>
    </row>
    <row r="64" spans="1:45" ht="29.25" customHeight="1">
      <c r="O64" s="472"/>
      <c r="S64" s="1171"/>
      <c r="T64" s="2786"/>
      <c r="U64" s="2786"/>
      <c r="V64" s="2786"/>
      <c r="W64" s="2786"/>
      <c r="X64" s="2786"/>
      <c r="Y64" s="2786"/>
      <c r="Z64" s="2786"/>
      <c r="AA64" s="2786"/>
      <c r="AB64" s="2786"/>
      <c r="AC64" s="2786"/>
      <c r="AD64" s="2786"/>
      <c r="AE64" s="2786"/>
      <c r="AF64" s="2786"/>
      <c r="AG64" s="2786"/>
      <c r="AH64" s="2786"/>
      <c r="AI64" s="2786"/>
      <c r="AJ64" s="2786"/>
      <c r="AK64" s="2786"/>
      <c r="AL64" s="2786"/>
      <c r="AM64" s="2786"/>
      <c r="AS64" s="1073">
        <v>28</v>
      </c>
    </row>
    <row r="65" spans="1:45" ht="22.5" hidden="1" customHeight="1">
      <c r="A65" s="1078" t="s">
        <v>81</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513" hidden="1"/>
    <col min="2" max="2" width="11" style="2513" hidden="1" customWidth="1"/>
    <col min="3" max="3" width="10.5703125" style="2513" hidden="1"/>
    <col min="4" max="4" width="11.85546875" style="2513" hidden="1" customWidth="1"/>
    <col min="5" max="5" width="10" style="2513" hidden="1" customWidth="1"/>
    <col min="6" max="6" width="8.7109375" style="2513" hidden="1" customWidth="1"/>
    <col min="7" max="7" width="7.5703125" style="2513" hidden="1" customWidth="1"/>
    <col min="8" max="8" width="11.42578125" style="2513" hidden="1" customWidth="1"/>
    <col min="9" max="9" width="12" style="2513" hidden="1" customWidth="1"/>
    <col min="10" max="10" width="9.85546875" style="2513" hidden="1" customWidth="1"/>
    <col min="11" max="11" width="11.42578125" style="2513" hidden="1" customWidth="1"/>
    <col min="12" max="12" width="19.140625" style="2517" hidden="1" customWidth="1"/>
    <col min="13" max="14" width="12.28515625" style="2547" hidden="1" customWidth="1"/>
    <col min="15" max="15" width="23.42578125" style="2547" hidden="1" customWidth="1"/>
    <col min="16" max="16" width="3" style="2547" customWidth="1"/>
    <col min="17" max="18" width="3" style="2548" customWidth="1"/>
    <col min="19" max="19" width="12" style="2549" customWidth="1"/>
    <col min="20" max="20" width="31" style="2513" customWidth="1"/>
    <col min="21" max="21" width="0.140625" style="2513" customWidth="1"/>
    <col min="22" max="22" width="24.7109375" style="2513" hidden="1" customWidth="1"/>
    <col min="23" max="23" width="0.140625" style="2513" hidden="1" customWidth="1"/>
    <col min="24" max="25" width="24.7109375" style="2513" hidden="1" customWidth="1"/>
    <col min="26" max="26" width="11.7109375" style="2513" hidden="1" customWidth="1"/>
    <col min="27" max="27" width="3.7109375" style="2513" hidden="1" customWidth="1"/>
    <col min="28" max="28" width="11.7109375" style="2513" hidden="1" customWidth="1"/>
    <col min="29" max="29" width="8.5703125" style="2513" hidden="1" customWidth="1"/>
    <col min="30" max="30" width="24.7109375" style="2513" customWidth="1"/>
    <col min="31" max="31" width="0.140625" style="2513" customWidth="1"/>
    <col min="32" max="33" width="24" style="2513" customWidth="1"/>
    <col min="34" max="34" width="11" style="2513" customWidth="1"/>
    <col min="35" max="35" width="3.7109375" style="2513" customWidth="1"/>
    <col min="36" max="36" width="11" style="2513" customWidth="1"/>
    <col min="37" max="37" width="8.5703125" style="2513" hidden="1" customWidth="1"/>
    <col min="38" max="38" width="4" style="2513" customWidth="1"/>
    <col min="39" max="39" width="115" style="2513" customWidth="1"/>
    <col min="40" max="44" width="10" style="2520" customWidth="1"/>
    <col min="45" max="45" width="10.5703125" style="2513" hidden="1"/>
  </cols>
  <sheetData>
    <row r="1" spans="1:45" ht="22.5" hidden="1" customHeight="1">
      <c r="AS1" s="1549" t="s">
        <v>14</v>
      </c>
    </row>
    <row r="2" spans="1:45" ht="21" hidden="1" customHeight="1">
      <c r="A2" s="1185"/>
      <c r="B2" s="1185"/>
      <c r="C2" s="1185"/>
      <c r="D2" s="1185"/>
      <c r="E2" s="2790">
        <v>1</v>
      </c>
      <c r="F2" s="1185"/>
      <c r="G2" s="1185"/>
      <c r="H2" s="1185"/>
      <c r="I2" s="1185"/>
      <c r="J2" s="1185"/>
      <c r="K2" s="1185"/>
      <c r="L2" s="1228"/>
      <c r="M2" s="1528"/>
      <c r="N2" s="1528"/>
      <c r="O2" s="1528"/>
      <c r="P2" s="1508"/>
      <c r="Q2" s="295"/>
      <c r="R2" s="290"/>
      <c r="S2" s="1870" t="e">
        <f>INDEX(PT_DIFFERENTIATION_NUM_NTAR,MATCH(A2,PT_DIFFERENTIATION_NTAR_ID,0))</f>
        <v>#N/A</v>
      </c>
      <c r="T2" s="1443" t="s">
        <v>122</v>
      </c>
      <c r="U2" s="236"/>
      <c r="V2" s="2766"/>
      <c r="W2" s="2767"/>
      <c r="X2" s="2767"/>
      <c r="Y2" s="2767"/>
      <c r="Z2" s="2767"/>
      <c r="AA2" s="2767"/>
      <c r="AB2" s="2767"/>
      <c r="AC2" s="2768"/>
      <c r="AD2" s="2766" t="e">
        <f>INDEX(PT_DIFFERENTIATION_NTAR,MATCH(A2,PT_DIFFERENTIATION_NTAR_ID,0))</f>
        <v>#N/A</v>
      </c>
      <c r="AE2" s="2767"/>
      <c r="AF2" s="2767"/>
      <c r="AG2" s="2767"/>
      <c r="AH2" s="2767"/>
      <c r="AI2" s="2767"/>
      <c r="AJ2" s="2767"/>
      <c r="AK2" s="2767"/>
      <c r="AL2" s="2768"/>
      <c r="AM2" s="1176" t="s">
        <v>398</v>
      </c>
      <c r="AO2" s="1542"/>
      <c r="AP2" s="1542" t="str">
        <f t="shared" ref="AP2:AP15" si="0">IF(T2="","",T2)</f>
        <v>Наименование тарифа</v>
      </c>
      <c r="AQ2" s="1542"/>
      <c r="AR2" s="1542"/>
      <c r="AS2" s="1549">
        <v>0</v>
      </c>
    </row>
    <row r="3" spans="1:45" ht="21" hidden="1" customHeight="1">
      <c r="A3" s="1185"/>
      <c r="B3" s="1185"/>
      <c r="C3" s="1185"/>
      <c r="D3" s="1185"/>
      <c r="E3" s="2791"/>
      <c r="F3" s="2790">
        <v>1</v>
      </c>
      <c r="G3" s="1185"/>
      <c r="H3" s="1185"/>
      <c r="I3" s="1185"/>
      <c r="J3" s="1185"/>
      <c r="K3" s="1185"/>
      <c r="L3" s="1228"/>
      <c r="M3" s="1528"/>
      <c r="N3" s="1528"/>
      <c r="O3" s="1528"/>
      <c r="P3" s="1852"/>
      <c r="Q3" s="287"/>
      <c r="R3" s="288"/>
      <c r="S3" s="1870" t="e">
        <f>INDEX(PT_DIFFERENTIATION_NUM_TER,MATCH(B3,PT_DIFFERENTIATION_TER_ID,0))</f>
        <v>#N/A</v>
      </c>
      <c r="T3" s="1440" t="s">
        <v>399</v>
      </c>
      <c r="U3" s="236"/>
      <c r="V3" s="2766"/>
      <c r="W3" s="2767"/>
      <c r="X3" s="2767"/>
      <c r="Y3" s="2767"/>
      <c r="Z3" s="2767"/>
      <c r="AA3" s="2767"/>
      <c r="AB3" s="2767"/>
      <c r="AC3" s="2768"/>
      <c r="AD3" s="2766" t="e">
        <f>INDEX(PT_DIFFERENTIATION_TER,MATCH(B3,PT_DIFFERENTIATION_TER_ID,0))</f>
        <v>#N/A</v>
      </c>
      <c r="AE3" s="2767"/>
      <c r="AF3" s="2767"/>
      <c r="AG3" s="2767"/>
      <c r="AH3" s="2767"/>
      <c r="AI3" s="2767"/>
      <c r="AJ3" s="2767"/>
      <c r="AK3" s="2767"/>
      <c r="AL3" s="2768"/>
      <c r="AM3" s="1176" t="s">
        <v>400</v>
      </c>
      <c r="AO3" s="1542"/>
      <c r="AP3" s="1542" t="str">
        <f t="shared" si="0"/>
        <v>Территория действия тарифа</v>
      </c>
      <c r="AQ3" s="1542"/>
      <c r="AR3" s="1542"/>
      <c r="AS3" s="1549">
        <v>0</v>
      </c>
    </row>
    <row r="4" spans="1:45" ht="23.25" hidden="1" customHeight="1">
      <c r="A4" s="1185"/>
      <c r="B4" s="1185"/>
      <c r="C4" s="1185"/>
      <c r="D4" s="1185"/>
      <c r="E4" s="2791"/>
      <c r="F4" s="2791"/>
      <c r="G4" s="2790">
        <v>1</v>
      </c>
      <c r="H4" s="1185"/>
      <c r="I4" s="1185"/>
      <c r="J4" s="1185"/>
      <c r="K4" s="1185"/>
      <c r="L4" s="1228"/>
      <c r="M4" s="1528"/>
      <c r="N4" s="1528"/>
      <c r="O4" s="1528"/>
      <c r="P4" s="289"/>
      <c r="Q4" s="287"/>
      <c r="R4" s="288"/>
      <c r="S4" s="1870" t="e">
        <f>INDEX(PT_DIFFERENTIATION_NUM_CS,MATCH(C4,PT_DIFFERENTIATION_CS_ID,0))</f>
        <v>#N/A</v>
      </c>
      <c r="T4" s="245" t="s">
        <v>401</v>
      </c>
      <c r="U4" s="236"/>
      <c r="V4" s="2766"/>
      <c r="W4" s="2767"/>
      <c r="X4" s="2767"/>
      <c r="Y4" s="2767"/>
      <c r="Z4" s="2767"/>
      <c r="AA4" s="2767"/>
      <c r="AB4" s="2767"/>
      <c r="AC4" s="2768"/>
      <c r="AD4" s="2766" t="e">
        <f>INDEX(PT_DIFFERENTIATION_CS,MATCH(C4,PT_DIFFERENTIATION_CS_ID,0))</f>
        <v>#N/A</v>
      </c>
      <c r="AE4" s="2767"/>
      <c r="AF4" s="2767"/>
      <c r="AG4" s="2767"/>
      <c r="AH4" s="2767"/>
      <c r="AI4" s="2767"/>
      <c r="AJ4" s="2767"/>
      <c r="AK4" s="2767"/>
      <c r="AL4" s="2768"/>
      <c r="AM4" s="1176" t="s">
        <v>402</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791"/>
      <c r="F5" s="2791"/>
      <c r="G5" s="2791"/>
      <c r="H5" s="2790">
        <v>1</v>
      </c>
      <c r="I5" s="1185"/>
      <c r="J5" s="1185"/>
      <c r="K5" s="1185"/>
      <c r="L5" s="1228"/>
      <c r="M5" s="1528"/>
      <c r="N5" s="1528"/>
      <c r="O5" s="1528"/>
      <c r="P5" s="289"/>
      <c r="Q5" s="287"/>
      <c r="R5" s="288"/>
      <c r="S5" s="1870" t="e">
        <f>INDEX(PT_DIFFERENTIATION_NUM_IST_TE,MATCH(D5,PT_DIFFERENTIATION_IST_TE_ID,0))</f>
        <v>#N/A</v>
      </c>
      <c r="T5" s="246" t="s">
        <v>403</v>
      </c>
      <c r="U5" s="236"/>
      <c r="V5" s="2766"/>
      <c r="W5" s="2767"/>
      <c r="X5" s="2767"/>
      <c r="Y5" s="2767"/>
      <c r="Z5" s="2767"/>
      <c r="AA5" s="2767"/>
      <c r="AB5" s="2767"/>
      <c r="AC5" s="2768"/>
      <c r="AD5" s="2766" t="e">
        <f>INDEX(PT_DIFFERENTIATION_IST_TE,MATCH(D5,PT_DIFFERENTIATION_IST_TE_ID,0))</f>
        <v>#N/A</v>
      </c>
      <c r="AE5" s="2767"/>
      <c r="AF5" s="2767"/>
      <c r="AG5" s="2767"/>
      <c r="AH5" s="2767"/>
      <c r="AI5" s="2767"/>
      <c r="AJ5" s="2767"/>
      <c r="AK5" s="2767"/>
      <c r="AL5" s="2768"/>
      <c r="AM5" s="1176" t="s">
        <v>404</v>
      </c>
      <c r="AO5" s="1542"/>
      <c r="AP5" s="1542" t="str">
        <f t="shared" si="0"/>
        <v xml:space="preserve">Источник тепловой энергии  </v>
      </c>
      <c r="AQ5" s="1542"/>
      <c r="AR5" s="1542"/>
      <c r="AS5" s="1549">
        <v>0</v>
      </c>
    </row>
    <row r="6" spans="1:45" ht="47.25" hidden="1" customHeight="1">
      <c r="A6" s="1185"/>
      <c r="B6" s="1185"/>
      <c r="C6" s="1185"/>
      <c r="D6" s="1185"/>
      <c r="E6" s="2791"/>
      <c r="F6" s="2791"/>
      <c r="G6" s="2791"/>
      <c r="H6" s="2791"/>
      <c r="I6" s="2638" t="e">
        <f>S5&amp;".1"</f>
        <v>#N/A</v>
      </c>
      <c r="J6" s="1185"/>
      <c r="K6" s="1185"/>
      <c r="L6" s="1228" t="s">
        <v>405</v>
      </c>
      <c r="M6" s="1553"/>
      <c r="P6" s="2777">
        <v>1</v>
      </c>
      <c r="Q6" s="1866"/>
      <c r="R6" s="291"/>
      <c r="S6" s="1870" t="e">
        <f>$I6</f>
        <v>#N/A</v>
      </c>
      <c r="T6" s="221" t="s">
        <v>406</v>
      </c>
      <c r="U6" s="236"/>
      <c r="V6" s="2769"/>
      <c r="W6" s="2770"/>
      <c r="X6" s="2770"/>
      <c r="Y6" s="2770"/>
      <c r="Z6" s="2770"/>
      <c r="AA6" s="2770"/>
      <c r="AB6" s="2770"/>
      <c r="AC6" s="2771"/>
      <c r="AD6" s="2769"/>
      <c r="AE6" s="2770"/>
      <c r="AF6" s="2770"/>
      <c r="AG6" s="2770"/>
      <c r="AH6" s="2770"/>
      <c r="AI6" s="2770"/>
      <c r="AJ6" s="2770"/>
      <c r="AK6" s="2770"/>
      <c r="AL6" s="2771"/>
      <c r="AM6" s="1176" t="s">
        <v>407</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791"/>
      <c r="F7" s="2791"/>
      <c r="G7" s="2791"/>
      <c r="H7" s="2791"/>
      <c r="I7" s="2610"/>
      <c r="J7" s="2638" t="e">
        <f>I6&amp;".1"</f>
        <v>#N/A</v>
      </c>
      <c r="K7" s="1185"/>
      <c r="L7" s="1228" t="s">
        <v>408</v>
      </c>
      <c r="M7" s="1553"/>
      <c r="N7" s="1549"/>
      <c r="P7" s="2777"/>
      <c r="Q7" s="2777">
        <v>1</v>
      </c>
      <c r="R7" s="292"/>
      <c r="S7" s="1870" t="e">
        <f>$J7</f>
        <v>#N/A</v>
      </c>
      <c r="T7" s="222" t="s">
        <v>409</v>
      </c>
      <c r="U7" s="236"/>
      <c r="V7" s="2769"/>
      <c r="W7" s="2770"/>
      <c r="X7" s="2770"/>
      <c r="Y7" s="2770"/>
      <c r="Z7" s="2770"/>
      <c r="AA7" s="2770"/>
      <c r="AB7" s="2770"/>
      <c r="AC7" s="2771"/>
      <c r="AD7" s="2769"/>
      <c r="AE7" s="2770"/>
      <c r="AF7" s="2770"/>
      <c r="AG7" s="2770"/>
      <c r="AH7" s="2770"/>
      <c r="AI7" s="2770"/>
      <c r="AJ7" s="2770"/>
      <c r="AK7" s="2770"/>
      <c r="AL7" s="2771"/>
      <c r="AM7" s="1176" t="s">
        <v>410</v>
      </c>
      <c r="AO7" s="1542"/>
      <c r="AP7" s="1542" t="str">
        <f t="shared" si="0"/>
        <v>Группа потребителей</v>
      </c>
      <c r="AQ7" s="1542"/>
      <c r="AR7" s="1542"/>
      <c r="AS7" s="1549">
        <v>0</v>
      </c>
    </row>
    <row r="8" spans="1:45" ht="21" hidden="1" customHeight="1">
      <c r="A8" s="1185"/>
      <c r="B8" s="1185"/>
      <c r="C8" s="1185"/>
      <c r="D8" s="1185"/>
      <c r="E8" s="2791"/>
      <c r="F8" s="2791"/>
      <c r="G8" s="2791"/>
      <c r="H8" s="2791"/>
      <c r="I8" s="2610"/>
      <c r="J8" s="2610"/>
      <c r="K8" s="2638" t="e">
        <f>J7&amp;".1"</f>
        <v>#N/A</v>
      </c>
      <c r="L8" s="1228" t="s">
        <v>411</v>
      </c>
      <c r="M8" s="1553"/>
      <c r="N8" s="1549"/>
      <c r="O8" s="1549"/>
      <c r="P8" s="2777"/>
      <c r="Q8" s="2777"/>
      <c r="R8" s="292">
        <v>1</v>
      </c>
      <c r="S8" s="1870" t="e">
        <f>$K8</f>
        <v>#N/A</v>
      </c>
      <c r="T8" s="1265"/>
      <c r="U8" s="236"/>
      <c r="V8" s="686"/>
      <c r="W8" s="261"/>
      <c r="X8" s="686"/>
      <c r="Y8" s="1175"/>
      <c r="Z8" s="2753"/>
      <c r="AA8" s="2619" t="s">
        <v>66</v>
      </c>
      <c r="AB8" s="2753"/>
      <c r="AC8" s="2619" t="s">
        <v>66</v>
      </c>
      <c r="AD8" s="686"/>
      <c r="AE8" s="261"/>
      <c r="AF8" s="686"/>
      <c r="AG8" s="1175"/>
      <c r="AH8" s="2753"/>
      <c r="AI8" s="2619" t="s">
        <v>66</v>
      </c>
      <c r="AJ8" s="2753"/>
      <c r="AK8" s="2619" t="s">
        <v>66</v>
      </c>
      <c r="AL8" s="261"/>
      <c r="AM8" s="2773" t="s">
        <v>412</v>
      </c>
      <c r="AN8" s="1554" t="e">
        <f ca="1">STRCHECKDATE(V9:AL9)</f>
        <v>#NAME?</v>
      </c>
      <c r="AO8" s="1542"/>
      <c r="AP8" s="1542" t="str">
        <f t="shared" si="0"/>
        <v/>
      </c>
      <c r="AQ8" s="1542"/>
      <c r="AR8" s="1542"/>
      <c r="AS8" s="1549">
        <v>0</v>
      </c>
    </row>
    <row r="9" spans="1:45" ht="0.75" hidden="1" customHeight="1">
      <c r="A9" s="1185"/>
      <c r="B9" s="1185"/>
      <c r="C9" s="1185"/>
      <c r="D9" s="1185"/>
      <c r="E9" s="2791"/>
      <c r="F9" s="2791"/>
      <c r="G9" s="2791"/>
      <c r="H9" s="2791"/>
      <c r="I9" s="2610"/>
      <c r="J9" s="2610"/>
      <c r="K9" s="2638"/>
      <c r="L9" s="1228"/>
      <c r="M9" s="1553"/>
      <c r="N9" s="1549"/>
      <c r="O9" s="1549"/>
      <c r="P9" s="2777"/>
      <c r="Q9" s="2777"/>
      <c r="R9" s="292"/>
      <c r="S9" s="1879"/>
      <c r="T9" s="236"/>
      <c r="U9" s="236"/>
      <c r="V9" s="261"/>
      <c r="W9" s="261"/>
      <c r="X9" s="261"/>
      <c r="Y9" s="264" t="str">
        <f>Z8&amp;"-"&amp;AB8</f>
        <v>-</v>
      </c>
      <c r="Z9" s="2752"/>
      <c r="AA9" s="2619"/>
      <c r="AB9" s="2752"/>
      <c r="AC9" s="2619"/>
      <c r="AD9" s="261"/>
      <c r="AE9" s="261"/>
      <c r="AF9" s="261"/>
      <c r="AG9" s="264" t="str">
        <f>AH8&amp;"-"&amp;AJ8</f>
        <v>-</v>
      </c>
      <c r="AH9" s="2752"/>
      <c r="AI9" s="2619"/>
      <c r="AJ9" s="2752"/>
      <c r="AK9" s="2619"/>
      <c r="AL9" s="261"/>
      <c r="AM9" s="2774"/>
      <c r="AO9" s="1542"/>
      <c r="AP9" s="1542" t="str">
        <f t="shared" si="0"/>
        <v/>
      </c>
      <c r="AQ9" s="1542"/>
      <c r="AR9" s="1542"/>
      <c r="AS9" s="1549">
        <v>0</v>
      </c>
    </row>
    <row r="10" spans="1:45" ht="15" hidden="1" customHeight="1">
      <c r="A10" s="1185"/>
      <c r="B10" s="1185"/>
      <c r="C10" s="1185"/>
      <c r="D10" s="1185"/>
      <c r="E10" s="2791"/>
      <c r="F10" s="2791"/>
      <c r="G10" s="2791"/>
      <c r="H10" s="2791"/>
      <c r="I10" s="2610"/>
      <c r="J10" s="2638"/>
      <c r="K10" s="1185"/>
      <c r="L10" s="1228"/>
      <c r="M10" s="1553"/>
      <c r="N10" s="1549"/>
      <c r="P10" s="2777"/>
      <c r="Q10" s="2777"/>
      <c r="R10" s="291"/>
      <c r="S10" s="1196"/>
      <c r="T10" s="224" t="s">
        <v>413</v>
      </c>
      <c r="U10" s="535"/>
      <c r="V10" s="535"/>
      <c r="W10" s="535"/>
      <c r="X10" s="535"/>
      <c r="Y10" s="535"/>
      <c r="Z10" s="535"/>
      <c r="AA10" s="535"/>
      <c r="AB10" s="535"/>
      <c r="AC10" s="535"/>
      <c r="AD10" s="535"/>
      <c r="AE10" s="535"/>
      <c r="AF10" s="535"/>
      <c r="AG10" s="535"/>
      <c r="AH10" s="535"/>
      <c r="AI10" s="535"/>
      <c r="AJ10" s="535"/>
      <c r="AK10" s="535"/>
      <c r="AL10" s="260"/>
      <c r="AM10" s="2775"/>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791"/>
      <c r="F11" s="2791"/>
      <c r="G11" s="2791"/>
      <c r="H11" s="2791"/>
      <c r="I11" s="2638"/>
      <c r="J11" s="1185"/>
      <c r="K11" s="1185"/>
      <c r="L11" s="1228"/>
      <c r="M11" s="1553"/>
      <c r="P11" s="2777"/>
      <c r="Q11" s="1866"/>
      <c r="R11" s="291"/>
      <c r="S11" s="1196"/>
      <c r="T11" s="223" t="s">
        <v>414</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791"/>
      <c r="F12" s="2791"/>
      <c r="G12" s="2791"/>
      <c r="H12" s="2790"/>
      <c r="I12" s="1185"/>
      <c r="J12" s="1185"/>
      <c r="K12" s="1185"/>
      <c r="L12" s="1228"/>
      <c r="M12" s="1528"/>
      <c r="N12" s="1528"/>
      <c r="O12" s="1553"/>
      <c r="P12" s="295"/>
      <c r="Q12" s="310"/>
      <c r="R12" s="290"/>
      <c r="S12" s="1196"/>
      <c r="T12" s="300" t="s">
        <v>415</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520" customFormat="1" ht="0.75" hidden="1" customHeight="1">
      <c r="A13" s="1292"/>
      <c r="B13" s="1292"/>
      <c r="C13" s="1292"/>
      <c r="D13" s="1292"/>
      <c r="E13" s="2791"/>
      <c r="F13" s="2791"/>
      <c r="G13" s="2790"/>
      <c r="H13" s="1292"/>
      <c r="I13" s="1292"/>
      <c r="J13" s="1292"/>
      <c r="K13" s="1292"/>
      <c r="L13" s="1295"/>
      <c r="M13" s="1296"/>
      <c r="N13" s="1296"/>
      <c r="O13" s="286"/>
      <c r="P13" s="1234"/>
      <c r="Q13" s="1235"/>
      <c r="R13" s="1234"/>
      <c r="S13" s="1236"/>
      <c r="T13" s="1237" t="s">
        <v>160</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520" customFormat="1" ht="0.75" hidden="1" customHeight="1">
      <c r="A14" s="1292"/>
      <c r="B14" s="1292"/>
      <c r="C14" s="1292"/>
      <c r="D14" s="1292"/>
      <c r="E14" s="2791"/>
      <c r="F14" s="2790"/>
      <c r="G14" s="1292"/>
      <c r="H14" s="1292"/>
      <c r="I14" s="1292"/>
      <c r="J14" s="1292"/>
      <c r="K14" s="1292"/>
      <c r="L14" s="1295"/>
      <c r="M14" s="1297"/>
      <c r="N14" s="1297"/>
      <c r="O14" s="286"/>
      <c r="P14" s="1234"/>
      <c r="Q14" s="1235"/>
      <c r="R14" s="1234"/>
      <c r="S14" s="1240"/>
      <c r="T14" s="1241" t="s">
        <v>161</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520" customFormat="1" ht="0.75" hidden="1" customHeight="1">
      <c r="A15" s="1292"/>
      <c r="B15" s="1292"/>
      <c r="C15" s="1292"/>
      <c r="D15" s="1292"/>
      <c r="E15" s="2790"/>
      <c r="F15" s="1292"/>
      <c r="G15" s="1292"/>
      <c r="H15" s="1292"/>
      <c r="I15" s="1292"/>
      <c r="J15" s="1292"/>
      <c r="K15" s="1292"/>
      <c r="L15" s="1295"/>
      <c r="M15" s="1297"/>
      <c r="N15" s="1297"/>
      <c r="O15" s="286"/>
      <c r="P15" s="1234"/>
      <c r="Q15" s="1235"/>
      <c r="R15" s="1234"/>
      <c r="S15" s="1240"/>
      <c r="T15" s="1243" t="s">
        <v>162</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780"/>
      <c r="AI17" s="2781" t="s">
        <v>66</v>
      </c>
      <c r="AJ17" s="2780"/>
      <c r="AK17" s="2781" t="s">
        <v>66</v>
      </c>
      <c r="AS17" s="1549">
        <v>0</v>
      </c>
    </row>
    <row r="18" spans="1:45" ht="14.25" hidden="1" customHeight="1">
      <c r="AD18" s="1278"/>
      <c r="AE18" s="1278"/>
      <c r="AF18" s="1278"/>
      <c r="AG18" s="264" t="str">
        <f>AH17&amp;"-"&amp;AJ17</f>
        <v>-</v>
      </c>
      <c r="AH18" s="2781"/>
      <c r="AI18" s="2781"/>
      <c r="AJ18" s="2781"/>
      <c r="AK18" s="2781"/>
      <c r="AS18" s="1549">
        <v>0</v>
      </c>
    </row>
    <row r="19" spans="1:45" ht="14.25" hidden="1" customHeight="1">
      <c r="AS19" s="1549">
        <v>0</v>
      </c>
    </row>
    <row r="20" spans="1:45" s="2519" customFormat="1" ht="14.25" hidden="1" customHeight="1">
      <c r="A20" s="1549"/>
      <c r="B20" s="1549"/>
      <c r="C20" s="1549"/>
      <c r="D20" s="1549"/>
      <c r="E20" s="1549"/>
      <c r="F20" s="1549"/>
      <c r="G20" s="1549"/>
      <c r="H20" s="1549"/>
      <c r="I20" s="1549"/>
      <c r="J20" s="1549"/>
      <c r="K20" s="1549"/>
      <c r="L20" s="1851"/>
      <c r="M20" s="1877"/>
      <c r="N20" s="1877"/>
      <c r="O20" s="1263" t="s">
        <v>416</v>
      </c>
      <c r="P20" s="1280"/>
      <c r="Q20" s="1289"/>
      <c r="R20" s="1289"/>
      <c r="S20" s="664"/>
      <c r="Z20" s="1285"/>
      <c r="AB20" s="1285"/>
      <c r="AH20" s="1285"/>
      <c r="AJ20" s="1285"/>
      <c r="AN20" s="1554"/>
      <c r="AO20" s="1554"/>
      <c r="AP20" s="1554"/>
      <c r="AQ20" s="1554"/>
      <c r="AR20" s="1554"/>
      <c r="AS20" s="1284">
        <v>0</v>
      </c>
    </row>
    <row r="21" spans="1:45" s="2519"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519" customFormat="1" ht="14.25" hidden="1" customHeight="1">
      <c r="A22" s="1549"/>
      <c r="B22" s="1549"/>
      <c r="C22" s="1549"/>
      <c r="D22" s="1549"/>
      <c r="E22" s="1549"/>
      <c r="F22" s="1549"/>
      <c r="G22" s="1549"/>
      <c r="H22" s="1549"/>
      <c r="I22" s="1549"/>
      <c r="J22" s="1549"/>
      <c r="K22" s="1549"/>
      <c r="L22" s="1851"/>
      <c r="M22" s="1877"/>
      <c r="N22" s="1877"/>
      <c r="O22" s="1228" t="s">
        <v>417</v>
      </c>
      <c r="P22" s="1280"/>
      <c r="Q22" s="1289"/>
      <c r="R22" s="1289"/>
      <c r="S22" s="664"/>
      <c r="T22" s="1284" t="s">
        <v>418</v>
      </c>
      <c r="AA22" s="530" t="s">
        <v>419</v>
      </c>
      <c r="AC22" s="530" t="s">
        <v>420</v>
      </c>
      <c r="AD22" s="1284" t="s">
        <v>418</v>
      </c>
      <c r="AI22" s="530" t="s">
        <v>421</v>
      </c>
      <c r="AK22" s="530" t="s">
        <v>420</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7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49"/>
      <c r="U26" s="2749"/>
      <c r="V26" s="2749"/>
      <c r="W26" s="2749"/>
      <c r="X26" s="2749"/>
      <c r="Y26" s="2749"/>
      <c r="Z26" s="2749"/>
      <c r="AA26" s="2749"/>
      <c r="AB26" s="2749"/>
      <c r="AC26" s="2749"/>
      <c r="AD26" s="2749"/>
      <c r="AE26" s="2749"/>
      <c r="AF26" s="2749"/>
      <c r="AG26" s="2749"/>
      <c r="AH26" s="2749"/>
      <c r="AI26" s="2749"/>
      <c r="AJ26" s="2749"/>
      <c r="AK26" s="1161"/>
      <c r="AS26" s="1549">
        <v>14</v>
      </c>
    </row>
    <row r="27" spans="1:45" ht="14.65" customHeight="1">
      <c r="Q27" s="311"/>
      <c r="R27" s="311"/>
      <c r="S27" s="2696" t="str">
        <f>IF(org=0,"Не определено",org)</f>
        <v>ООО "Ноябрьская ПГЭ"</v>
      </c>
      <c r="T27" s="2696"/>
      <c r="U27" s="2696"/>
      <c r="V27" s="2696"/>
      <c r="W27" s="2696"/>
      <c r="X27" s="2696"/>
      <c r="Y27" s="2696"/>
      <c r="Z27" s="2696"/>
      <c r="AA27" s="2696"/>
      <c r="AB27" s="2696"/>
      <c r="AC27" s="2696"/>
      <c r="AD27" s="2696"/>
      <c r="AE27" s="2696"/>
      <c r="AF27" s="2696"/>
      <c r="AG27" s="2696"/>
      <c r="AH27" s="2696"/>
      <c r="AI27" s="2696"/>
      <c r="AJ27" s="2696"/>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529" customFormat="1" ht="25.5" hidden="1" customHeight="1">
      <c r="A29" s="1166"/>
      <c r="B29" s="1166"/>
      <c r="C29" s="1166"/>
      <c r="D29" s="1166"/>
      <c r="E29" s="1166"/>
      <c r="F29" s="1166"/>
      <c r="G29" s="1166"/>
      <c r="H29" s="1166"/>
      <c r="I29" s="1166"/>
      <c r="J29" s="1166"/>
      <c r="K29" s="1166"/>
      <c r="L29" s="1298"/>
      <c r="M29" s="1166"/>
      <c r="N29" s="1166"/>
      <c r="O29" s="1166"/>
      <c r="S29" s="2772" t="s">
        <v>42</v>
      </c>
      <c r="T29" s="2772"/>
      <c r="U29" s="1290"/>
      <c r="V29" s="2754" t="str">
        <f>IF(TITLE_NAME_OR_PR_CHANGE="",IF(TITLE_NAME_OR_PR="","",TITLE_NAME_OR_PR),TITLE_NAME_OR_PR_CHANGE)</f>
        <v/>
      </c>
      <c r="W29" s="2754"/>
      <c r="X29" s="2754"/>
      <c r="Y29" s="2754"/>
      <c r="Z29" s="2754"/>
      <c r="AA29" s="2754"/>
      <c r="AB29" s="2754"/>
      <c r="AC29" s="1553"/>
      <c r="AD29" s="2754" t="str">
        <f>IF(TITLE_NAME_OR_PR_CHANGE="",IF(TITLE_NAME_OR_PR="","",TITLE_NAME_OR_PR),TITLE_NAME_OR_PR_CHANGE)</f>
        <v/>
      </c>
      <c r="AE29" s="2754"/>
      <c r="AF29" s="2754"/>
      <c r="AG29" s="2754"/>
      <c r="AH29" s="2754"/>
      <c r="AI29" s="2754"/>
      <c r="AJ29" s="2754"/>
      <c r="AK29" s="1553"/>
      <c r="AL29" s="1553"/>
      <c r="AM29" s="216"/>
      <c r="AN29" s="303"/>
      <c r="AO29" s="303"/>
      <c r="AP29" s="303"/>
      <c r="AQ29" s="303"/>
      <c r="AR29" s="303"/>
      <c r="AS29" s="353">
        <v>0</v>
      </c>
    </row>
    <row r="30" spans="1:45" s="2529" customFormat="1" ht="18.75" hidden="1" customHeight="1">
      <c r="A30" s="1166"/>
      <c r="B30" s="1166"/>
      <c r="C30" s="1166"/>
      <c r="D30" s="1166"/>
      <c r="E30" s="1166"/>
      <c r="F30" s="1166"/>
      <c r="G30" s="1166"/>
      <c r="H30" s="1166"/>
      <c r="I30" s="1166"/>
      <c r="J30" s="1166"/>
      <c r="K30" s="1166"/>
      <c r="L30" s="1298"/>
      <c r="M30" s="1166"/>
      <c r="N30" s="1166"/>
      <c r="O30" s="1166"/>
      <c r="S30" s="2772" t="s">
        <v>422</v>
      </c>
      <c r="T30" s="2772"/>
      <c r="U30" s="1290"/>
      <c r="V30" s="2755">
        <f>IF(TITLE_DATE_PR_CHANGE="",IF(TITLE_DATE_PR="","",TITLE_DATE_PR),TITLE_DATE_PR_CHANGE)</f>
        <v>45583</v>
      </c>
      <c r="W30" s="2755"/>
      <c r="X30" s="2755"/>
      <c r="Y30" s="2755"/>
      <c r="Z30" s="2755"/>
      <c r="AA30" s="2755"/>
      <c r="AB30" s="2755"/>
      <c r="AC30" s="1553"/>
      <c r="AD30" s="2755">
        <f>IF(TITLE_DATE_PR_CHANGE="",IF(TITLE_DATE_PR="","",TITLE_DATE_PR),TITLE_DATE_PR_CHANGE)</f>
        <v>45583</v>
      </c>
      <c r="AE30" s="2755"/>
      <c r="AF30" s="2755"/>
      <c r="AG30" s="2755"/>
      <c r="AH30" s="2755"/>
      <c r="AI30" s="2755"/>
      <c r="AJ30" s="2755"/>
      <c r="AK30" s="1553"/>
      <c r="AL30" s="1553"/>
      <c r="AM30" s="216"/>
      <c r="AN30" s="303"/>
      <c r="AO30" s="303"/>
      <c r="AP30" s="303"/>
      <c r="AQ30" s="303"/>
      <c r="AR30" s="303"/>
      <c r="AS30" s="353">
        <v>0</v>
      </c>
    </row>
    <row r="31" spans="1:45" s="2529" customFormat="1" ht="18.75" hidden="1" customHeight="1">
      <c r="A31" s="1166"/>
      <c r="B31" s="1166"/>
      <c r="C31" s="1166"/>
      <c r="D31" s="1166"/>
      <c r="E31" s="1166"/>
      <c r="F31" s="1166"/>
      <c r="G31" s="1166"/>
      <c r="H31" s="1166"/>
      <c r="I31" s="1166"/>
      <c r="J31" s="1166"/>
      <c r="K31" s="1166"/>
      <c r="L31" s="1298"/>
      <c r="M31" s="1166"/>
      <c r="N31" s="1166"/>
      <c r="O31" s="1166"/>
      <c r="S31" s="2772" t="s">
        <v>423</v>
      </c>
      <c r="T31" s="2772"/>
      <c r="U31" s="1290"/>
      <c r="V31" s="2754" t="str">
        <f>IF(TITLE_NUMBER_PR_CHANGE="",IF(TITLE_NUMBER_PR="","",TITLE_NUMBER_PR),TITLE_NUMBER_PR_CHANGE)</f>
        <v>18-3341</v>
      </c>
      <c r="W31" s="2754"/>
      <c r="X31" s="2754"/>
      <c r="Y31" s="2754"/>
      <c r="Z31" s="2754"/>
      <c r="AA31" s="2754"/>
      <c r="AB31" s="2754"/>
      <c r="AC31" s="1553"/>
      <c r="AD31" s="2754" t="str">
        <f>IF(TITLE_NUMBER_PR_CHANGE="",IF(TITLE_NUMBER_PR="","",TITLE_NUMBER_PR),TITLE_NUMBER_PR_CHANGE)</f>
        <v>18-3341</v>
      </c>
      <c r="AE31" s="2754"/>
      <c r="AF31" s="2754"/>
      <c r="AG31" s="2754"/>
      <c r="AH31" s="2754"/>
      <c r="AI31" s="2754"/>
      <c r="AJ31" s="2754"/>
      <c r="AK31" s="1553"/>
      <c r="AL31" s="1553"/>
      <c r="AM31" s="216"/>
      <c r="AN31" s="303"/>
      <c r="AO31" s="303"/>
      <c r="AP31" s="303"/>
      <c r="AQ31" s="303"/>
      <c r="AR31" s="303"/>
      <c r="AS31" s="353">
        <v>0</v>
      </c>
    </row>
    <row r="32" spans="1:45" s="2529" customFormat="1" ht="18.75" hidden="1" customHeight="1">
      <c r="A32" s="1166"/>
      <c r="B32" s="1166"/>
      <c r="C32" s="1166"/>
      <c r="D32" s="1166"/>
      <c r="E32" s="1166"/>
      <c r="F32" s="1166"/>
      <c r="G32" s="1166"/>
      <c r="H32" s="1166"/>
      <c r="I32" s="1166"/>
      <c r="J32" s="1166"/>
      <c r="K32" s="1166"/>
      <c r="L32" s="1298"/>
      <c r="M32" s="1166"/>
      <c r="N32" s="1166"/>
      <c r="O32" s="1166"/>
      <c r="S32" s="2772" t="s">
        <v>43</v>
      </c>
      <c r="T32" s="2772"/>
      <c r="U32" s="1290"/>
      <c r="V32" s="2754" t="str">
        <f>IF(TITLE_IST_PUB_CHANGE="",IF(TITLE_IST_PUB="","",TITLE_IST_PUB),TITLE_IST_PUB_CHANGE)</f>
        <v/>
      </c>
      <c r="W32" s="2754"/>
      <c r="X32" s="2754"/>
      <c r="Y32" s="2754"/>
      <c r="Z32" s="2754"/>
      <c r="AA32" s="2754"/>
      <c r="AB32" s="2754"/>
      <c r="AC32" s="1553"/>
      <c r="AD32" s="2754" t="str">
        <f>IF(TITLE_IST_PUB_CHANGE="",IF(TITLE_IST_PUB="","",TITLE_IST_PUB),TITLE_IST_PUB_CHANGE)</f>
        <v/>
      </c>
      <c r="AE32" s="2754"/>
      <c r="AF32" s="2754"/>
      <c r="AG32" s="2754"/>
      <c r="AH32" s="2754"/>
      <c r="AI32" s="2754"/>
      <c r="AJ32" s="2754"/>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529" customFormat="1" ht="18.75" hidden="1" customHeight="1">
      <c r="A34" s="1166"/>
      <c r="B34" s="1166"/>
      <c r="C34" s="1166"/>
      <c r="D34" s="1166"/>
      <c r="E34" s="1166"/>
      <c r="F34" s="1166"/>
      <c r="G34" s="1166"/>
      <c r="H34" s="1166"/>
      <c r="I34" s="1166"/>
      <c r="J34" s="1166"/>
      <c r="K34" s="1166"/>
      <c r="L34" s="1298"/>
      <c r="M34" s="1166"/>
      <c r="N34" s="1166"/>
      <c r="O34" s="1166"/>
      <c r="S34" s="2772" t="s">
        <v>424</v>
      </c>
      <c r="T34" s="2772"/>
      <c r="U34" s="1290"/>
      <c r="V34" s="2755">
        <f>IF(TITLE_DATE_PR_CHANGE="",IF(TITLE_DATE_PR="","",TITLE_DATE_PR),TITLE_DATE_PR_CHANGE)</f>
        <v>45583</v>
      </c>
      <c r="W34" s="2755"/>
      <c r="X34" s="2755"/>
      <c r="Y34" s="2755"/>
      <c r="Z34" s="2755"/>
      <c r="AA34" s="2755"/>
      <c r="AB34" s="2755"/>
      <c r="AC34" s="1553"/>
      <c r="AD34" s="2755">
        <f>IF(TITLE_DATE_PR_CHANGE="",IF(TITLE_DATE_PR="","",TITLE_DATE_PR),TITLE_DATE_PR_CHANGE)</f>
        <v>45583</v>
      </c>
      <c r="AE34" s="2755"/>
      <c r="AF34" s="2755"/>
      <c r="AG34" s="2755"/>
      <c r="AH34" s="2755"/>
      <c r="AI34" s="2755"/>
      <c r="AJ34" s="2755"/>
      <c r="AK34" s="1553"/>
      <c r="AL34" s="1553"/>
      <c r="AM34" s="216"/>
      <c r="AN34" s="303"/>
      <c r="AO34" s="303"/>
      <c r="AP34" s="303"/>
      <c r="AQ34" s="303"/>
      <c r="AR34" s="303"/>
      <c r="AS34" s="353">
        <v>0</v>
      </c>
    </row>
    <row r="35" spans="1:45" s="2529" customFormat="1" ht="18.75" hidden="1" customHeight="1">
      <c r="A35" s="1166"/>
      <c r="B35" s="1166"/>
      <c r="C35" s="1166"/>
      <c r="D35" s="1166"/>
      <c r="E35" s="1166"/>
      <c r="F35" s="1166"/>
      <c r="G35" s="1166"/>
      <c r="H35" s="1166"/>
      <c r="I35" s="1166"/>
      <c r="J35" s="1166"/>
      <c r="K35" s="1166"/>
      <c r="L35" s="1298"/>
      <c r="M35" s="1166"/>
      <c r="N35" s="1166"/>
      <c r="O35" s="1166"/>
      <c r="S35" s="2772" t="s">
        <v>425</v>
      </c>
      <c r="T35" s="2772"/>
      <c r="U35" s="1290"/>
      <c r="V35" s="2754" t="str">
        <f>IF(TITLE_NUMBER_PR_CHANGE="",IF(TITLE_NUMBER_PR="","",TITLE_NUMBER_PR),TITLE_NUMBER_PR_CHANGE)</f>
        <v>18-3341</v>
      </c>
      <c r="W35" s="2754"/>
      <c r="X35" s="2754"/>
      <c r="Y35" s="2754"/>
      <c r="Z35" s="2754"/>
      <c r="AA35" s="2754"/>
      <c r="AB35" s="2754"/>
      <c r="AC35" s="1553"/>
      <c r="AD35" s="2754" t="str">
        <f>IF(TITLE_NUMBER_PR_CHANGE="",IF(TITLE_NUMBER_PR="","",TITLE_NUMBER_PR),TITLE_NUMBER_PR_CHANGE)</f>
        <v>18-3341</v>
      </c>
      <c r="AE35" s="2754"/>
      <c r="AF35" s="2754"/>
      <c r="AG35" s="2754"/>
      <c r="AH35" s="2754"/>
      <c r="AI35" s="2754"/>
      <c r="AJ35" s="2754"/>
      <c r="AK35" s="1553"/>
      <c r="AL35" s="1553"/>
      <c r="AM35" s="216"/>
      <c r="AN35" s="303"/>
      <c r="AO35" s="303"/>
      <c r="AP35" s="303"/>
      <c r="AQ35" s="303"/>
      <c r="AR35" s="303"/>
      <c r="AS35" s="353">
        <v>0</v>
      </c>
    </row>
    <row r="36" spans="1:45" s="2529"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426</v>
      </c>
      <c r="AD36" s="1553"/>
      <c r="AE36" s="1553"/>
      <c r="AF36" s="1553"/>
      <c r="AG36" s="1553"/>
      <c r="AH36" s="1553"/>
      <c r="AI36" s="1553"/>
      <c r="AJ36" s="1553"/>
      <c r="AK36" s="1560" t="s">
        <v>426</v>
      </c>
      <c r="AN36" s="303"/>
      <c r="AO36" s="303"/>
      <c r="AP36" s="303"/>
      <c r="AQ36" s="303"/>
      <c r="AR36" s="303"/>
      <c r="AS36" s="353">
        <v>0</v>
      </c>
    </row>
    <row r="37" spans="1:45" ht="14.65" customHeight="1">
      <c r="Q37" s="311"/>
      <c r="R37" s="311"/>
      <c r="S37" s="1193"/>
      <c r="T37" s="392"/>
      <c r="U37" s="1162"/>
      <c r="V37" s="2756"/>
      <c r="W37" s="2756"/>
      <c r="X37" s="2756"/>
      <c r="Y37" s="2756"/>
      <c r="Z37" s="2756"/>
      <c r="AA37" s="2756"/>
      <c r="AB37" s="2756"/>
      <c r="AC37" s="2756"/>
      <c r="AD37" s="2756"/>
      <c r="AE37" s="2756"/>
      <c r="AF37" s="2756"/>
      <c r="AG37" s="2756"/>
      <c r="AH37" s="2756"/>
      <c r="AI37" s="2756"/>
      <c r="AJ37" s="2756"/>
      <c r="AK37" s="2756"/>
      <c r="AS37" s="1549">
        <v>14</v>
      </c>
    </row>
    <row r="38" spans="1:45" ht="14.65" customHeight="1">
      <c r="Q38" s="311"/>
      <c r="R38" s="311"/>
      <c r="S38" s="2638" t="s">
        <v>302</v>
      </c>
      <c r="T38" s="2638"/>
      <c r="U38" s="2638"/>
      <c r="V38" s="2638"/>
      <c r="W38" s="2638"/>
      <c r="X38" s="2638"/>
      <c r="Y38" s="2638"/>
      <c r="Z38" s="2638"/>
      <c r="AA38" s="2638"/>
      <c r="AB38" s="2638"/>
      <c r="AC38" s="2638"/>
      <c r="AD38" s="2638"/>
      <c r="AE38" s="2638"/>
      <c r="AF38" s="2638"/>
      <c r="AG38" s="2638"/>
      <c r="AH38" s="2638"/>
      <c r="AI38" s="2638"/>
      <c r="AJ38" s="2638"/>
      <c r="AK38" s="2638"/>
      <c r="AL38" s="2638"/>
      <c r="AM38" s="2638" t="s">
        <v>303</v>
      </c>
      <c r="AS38" s="1549">
        <v>14</v>
      </c>
    </row>
    <row r="39" spans="1:45" ht="14.65" customHeight="1">
      <c r="Q39" s="311"/>
      <c r="R39" s="311"/>
      <c r="S39" s="2782" t="s">
        <v>87</v>
      </c>
      <c r="T39" s="2724" t="s">
        <v>428</v>
      </c>
      <c r="U39" s="273"/>
      <c r="V39" s="2757" t="s">
        <v>429</v>
      </c>
      <c r="W39" s="2758"/>
      <c r="X39" s="2758"/>
      <c r="Y39" s="2758"/>
      <c r="Z39" s="2758"/>
      <c r="AA39" s="2758"/>
      <c r="AB39" s="2759"/>
      <c r="AC39" s="2760" t="s">
        <v>430</v>
      </c>
      <c r="AD39" s="2757" t="s">
        <v>429</v>
      </c>
      <c r="AE39" s="2758"/>
      <c r="AF39" s="2758"/>
      <c r="AG39" s="2758"/>
      <c r="AH39" s="2758"/>
      <c r="AI39" s="2758"/>
      <c r="AJ39" s="2759"/>
      <c r="AK39" s="2760" t="s">
        <v>431</v>
      </c>
      <c r="AL39" s="2783" t="s">
        <v>432</v>
      </c>
      <c r="AM39" s="2638"/>
      <c r="AS39" s="1549">
        <v>14</v>
      </c>
    </row>
    <row r="40" spans="1:45" ht="35.65" customHeight="1">
      <c r="Q40" s="311"/>
      <c r="R40" s="311"/>
      <c r="S40" s="2782"/>
      <c r="T40" s="2724"/>
      <c r="U40" s="953"/>
      <c r="V40" s="2695" t="s">
        <v>433</v>
      </c>
      <c r="W40" s="2763" t="s">
        <v>434</v>
      </c>
      <c r="X40" s="2610" t="s">
        <v>435</v>
      </c>
      <c r="Y40" s="2609"/>
      <c r="Z40" s="2610" t="s">
        <v>451</v>
      </c>
      <c r="AA40" s="2615"/>
      <c r="AB40" s="2609"/>
      <c r="AC40" s="2761"/>
      <c r="AD40" s="2695" t="s">
        <v>433</v>
      </c>
      <c r="AE40" s="2763" t="s">
        <v>434</v>
      </c>
      <c r="AF40" s="2610" t="s">
        <v>435</v>
      </c>
      <c r="AG40" s="2609"/>
      <c r="AH40" s="2610" t="s">
        <v>436</v>
      </c>
      <c r="AI40" s="2615"/>
      <c r="AJ40" s="2609"/>
      <c r="AK40" s="2761"/>
      <c r="AL40" s="2784"/>
      <c r="AM40" s="2638"/>
      <c r="AS40" s="1549">
        <v>34</v>
      </c>
    </row>
    <row r="41" spans="1:45" ht="35.65" customHeight="1">
      <c r="A41" s="1184"/>
      <c r="B41" s="1184" t="s">
        <v>134</v>
      </c>
      <c r="C41" s="1184" t="s">
        <v>135</v>
      </c>
      <c r="D41" s="1184" t="s">
        <v>136</v>
      </c>
      <c r="E41" s="1228" t="s">
        <v>437</v>
      </c>
      <c r="F41" s="1228" t="s">
        <v>438</v>
      </c>
      <c r="G41" s="1228" t="s">
        <v>439</v>
      </c>
      <c r="H41" s="1228" t="s">
        <v>440</v>
      </c>
      <c r="I41" s="1228" t="s">
        <v>441</v>
      </c>
      <c r="J41" s="1228" t="s">
        <v>442</v>
      </c>
      <c r="K41" s="1228" t="s">
        <v>443</v>
      </c>
      <c r="L41" s="1228" t="s">
        <v>417</v>
      </c>
      <c r="Q41" s="311"/>
      <c r="R41" s="311"/>
      <c r="S41" s="2782"/>
      <c r="T41" s="2724"/>
      <c r="U41" s="238"/>
      <c r="V41" s="2744"/>
      <c r="W41" s="2764"/>
      <c r="X41" s="1850" t="s">
        <v>444</v>
      </c>
      <c r="Y41" s="1850" t="s">
        <v>445</v>
      </c>
      <c r="Z41" s="1850" t="s">
        <v>446</v>
      </c>
      <c r="AA41" s="2733" t="s">
        <v>447</v>
      </c>
      <c r="AB41" s="2735"/>
      <c r="AC41" s="2762"/>
      <c r="AD41" s="2744"/>
      <c r="AE41" s="2764"/>
      <c r="AF41" s="1850" t="s">
        <v>444</v>
      </c>
      <c r="AG41" s="1850" t="s">
        <v>445</v>
      </c>
      <c r="AH41" s="1850" t="s">
        <v>446</v>
      </c>
      <c r="AI41" s="2733" t="s">
        <v>447</v>
      </c>
      <c r="AJ41" s="2735"/>
      <c r="AK41" s="2762"/>
      <c r="AL41" s="2785"/>
      <c r="AM41" s="2638"/>
      <c r="AS41" s="1549">
        <v>34</v>
      </c>
    </row>
    <row r="42" spans="1:45" s="2544"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108</v>
      </c>
      <c r="T42" s="1173" t="s">
        <v>109</v>
      </c>
      <c r="U42" s="1163" t="str">
        <f ca="1">OFFSET(U42,0,-1)</f>
        <v>2</v>
      </c>
      <c r="V42" s="1868">
        <f ca="1">OFFSET(V42,0,-1)+1</f>
        <v>3</v>
      </c>
      <c r="W42" s="1868"/>
      <c r="X42" s="1868">
        <f ca="1">OFFSET(X42,0,-1)+1</f>
        <v>1</v>
      </c>
      <c r="Y42" s="1868">
        <f ca="1">OFFSET(Y42,0,-1)+1</f>
        <v>2</v>
      </c>
      <c r="Z42" s="1868">
        <f ca="1">OFFSET(Z42,0,-1)+1</f>
        <v>3</v>
      </c>
      <c r="AA42" s="2765">
        <f ca="1">OFFSET(AA42,0,-1)+1</f>
        <v>4</v>
      </c>
      <c r="AB42" s="2765"/>
      <c r="AC42" s="1868">
        <f ca="1">OFFSET(AC42,0,-2)+1</f>
        <v>5</v>
      </c>
      <c r="AD42" s="1868">
        <f ca="1">OFFSET(AD42,0,-1)+1</f>
        <v>6</v>
      </c>
      <c r="AE42" s="1868"/>
      <c r="AF42" s="1868">
        <f ca="1">OFFSET(AF42,0,-1)+1</f>
        <v>1</v>
      </c>
      <c r="AG42" s="1868">
        <f ca="1">OFFSET(AG42,0,-1)+1</f>
        <v>2</v>
      </c>
      <c r="AH42" s="1868">
        <f ca="1">OFFSET(AH42,0,-1)+1</f>
        <v>3</v>
      </c>
      <c r="AI42" s="2765">
        <f ca="1">OFFSET(AI42,0,-1)+1</f>
        <v>4</v>
      </c>
      <c r="AJ42" s="2765"/>
      <c r="AK42" s="1868">
        <f ca="1">OFFSET(AK42,0,-2)+1</f>
        <v>5</v>
      </c>
      <c r="AL42" s="1163">
        <f ca="1">OFFSET(AL42,0,-1)</f>
        <v>5</v>
      </c>
      <c r="AM42" s="1868">
        <f ca="1">OFFSET(AM42,0,-1)+1</f>
        <v>6</v>
      </c>
      <c r="AN42" s="1554"/>
      <c r="AO42" s="1554"/>
      <c r="AP42" s="1554"/>
      <c r="AQ42" s="1554"/>
      <c r="AR42" s="1554"/>
      <c r="AS42" s="1559">
        <v>0</v>
      </c>
    </row>
    <row r="43" spans="1:45" ht="21.95" customHeight="1">
      <c r="A43" s="1185" t="s">
        <v>214</v>
      </c>
      <c r="B43" s="1185"/>
      <c r="C43" s="1185"/>
      <c r="D43" s="1185"/>
      <c r="E43" s="2790">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122</v>
      </c>
      <c r="U43" s="236"/>
      <c r="V43" s="2766"/>
      <c r="W43" s="2767"/>
      <c r="X43" s="2767"/>
      <c r="Y43" s="2767"/>
      <c r="Z43" s="2767"/>
      <c r="AA43" s="2767"/>
      <c r="AB43" s="2767"/>
      <c r="AC43" s="2768"/>
      <c r="AD43" s="2766" t="str">
        <f>INDEX(PT_DIFFERENTIATION_NTAR,MATCH(A43,PT_DIFFERENTIATION_NTAR_ID,0))</f>
        <v/>
      </c>
      <c r="AE43" s="2767"/>
      <c r="AF43" s="2767"/>
      <c r="AG43" s="2767"/>
      <c r="AH43" s="2767"/>
      <c r="AI43" s="2767"/>
      <c r="AJ43" s="2767"/>
      <c r="AK43" s="2767"/>
      <c r="AL43" s="276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214</v>
      </c>
      <c r="B44" s="1185" t="s">
        <v>215</v>
      </c>
      <c r="C44" s="1185"/>
      <c r="D44" s="1185"/>
      <c r="E44" s="2791"/>
      <c r="F44" s="2790">
        <v>1</v>
      </c>
      <c r="G44" s="1185"/>
      <c r="H44" s="1185"/>
      <c r="I44" s="1185"/>
      <c r="J44" s="1185"/>
      <c r="K44" s="1185"/>
      <c r="L44" s="1228"/>
      <c r="M44" s="1528"/>
      <c r="N44" s="1528"/>
      <c r="O44" s="1528"/>
      <c r="P44" s="1852"/>
      <c r="Q44" s="287"/>
      <c r="R44" s="288"/>
      <c r="S44" s="1870" t="str">
        <f>INDEX(PT_DIFFERENTIATION_NUM_TER,MATCH(B44,PT_DIFFERENTIATION_TER_ID,0))</f>
        <v>.</v>
      </c>
      <c r="T44" s="1440" t="s">
        <v>399</v>
      </c>
      <c r="U44" s="236"/>
      <c r="V44" s="2766"/>
      <c r="W44" s="2767"/>
      <c r="X44" s="2767"/>
      <c r="Y44" s="2767"/>
      <c r="Z44" s="2767"/>
      <c r="AA44" s="2767"/>
      <c r="AB44" s="2767"/>
      <c r="AC44" s="2768"/>
      <c r="AD44" s="2766" t="str">
        <f>INDEX(PT_DIFFERENTIATION_TER,MATCH(B44,PT_DIFFERENTIATION_TER_ID,0))</f>
        <v/>
      </c>
      <c r="AE44" s="2767"/>
      <c r="AF44" s="2767"/>
      <c r="AG44" s="2767"/>
      <c r="AH44" s="2767"/>
      <c r="AI44" s="2767"/>
      <c r="AJ44" s="2767"/>
      <c r="AK44" s="2767"/>
      <c r="AL44" s="2768"/>
      <c r="AM44" s="1176" t="s">
        <v>400</v>
      </c>
      <c r="AO44" s="1542"/>
      <c r="AP44" s="1542" t="str">
        <f t="shared" si="1"/>
        <v>Территория действия тарифа</v>
      </c>
      <c r="AQ44" s="1542"/>
      <c r="AR44" s="1542"/>
      <c r="AS44" s="1549">
        <v>21</v>
      </c>
    </row>
    <row r="45" spans="1:45" ht="24" customHeight="1">
      <c r="A45" s="1185" t="s">
        <v>214</v>
      </c>
      <c r="B45" s="1185" t="s">
        <v>215</v>
      </c>
      <c r="C45" s="1185" t="s">
        <v>216</v>
      </c>
      <c r="D45" s="1185"/>
      <c r="E45" s="2791"/>
      <c r="F45" s="2791"/>
      <c r="G45" s="2790">
        <v>1</v>
      </c>
      <c r="H45" s="1185"/>
      <c r="I45" s="1185"/>
      <c r="J45" s="1185"/>
      <c r="K45" s="1185"/>
      <c r="L45" s="1228"/>
      <c r="M45" s="1528"/>
      <c r="N45" s="1528"/>
      <c r="O45" s="1528"/>
      <c r="P45" s="289"/>
      <c r="Q45" s="287"/>
      <c r="R45" s="288"/>
      <c r="S45" s="1870" t="str">
        <f>INDEX(PT_DIFFERENTIATION_NUM_CS,MATCH(C45,PT_DIFFERENTIATION_CS_ID,0))</f>
        <v>..</v>
      </c>
      <c r="T45" s="245" t="s">
        <v>401</v>
      </c>
      <c r="U45" s="236"/>
      <c r="V45" s="2766"/>
      <c r="W45" s="2767"/>
      <c r="X45" s="2767"/>
      <c r="Y45" s="2767"/>
      <c r="Z45" s="2767"/>
      <c r="AA45" s="2767"/>
      <c r="AB45" s="2767"/>
      <c r="AC45" s="2768"/>
      <c r="AD45" s="2766" t="str">
        <f>INDEX(PT_DIFFERENTIATION_CS,MATCH(C45,PT_DIFFERENTIATION_CS_ID,0))</f>
        <v/>
      </c>
      <c r="AE45" s="2767"/>
      <c r="AF45" s="2767"/>
      <c r="AG45" s="2767"/>
      <c r="AH45" s="2767"/>
      <c r="AI45" s="2767"/>
      <c r="AJ45" s="2767"/>
      <c r="AK45" s="2767"/>
      <c r="AL45" s="2768"/>
      <c r="AM45" s="1176" t="s">
        <v>402</v>
      </c>
      <c r="AO45" s="1542"/>
      <c r="AP45" s="1542" t="str">
        <f t="shared" si="1"/>
        <v xml:space="preserve">Наименование системы теплоснабжения </v>
      </c>
      <c r="AQ45" s="1542"/>
      <c r="AR45" s="1542"/>
      <c r="AS45" s="1549">
        <v>23</v>
      </c>
    </row>
    <row r="46" spans="1:45" ht="21.95" customHeight="1">
      <c r="A46" s="1185" t="s">
        <v>214</v>
      </c>
      <c r="B46" s="1185" t="s">
        <v>215</v>
      </c>
      <c r="C46" s="1185" t="s">
        <v>216</v>
      </c>
      <c r="D46" s="1185" t="s">
        <v>217</v>
      </c>
      <c r="E46" s="2791"/>
      <c r="F46" s="2791"/>
      <c r="G46" s="2791"/>
      <c r="H46" s="2790">
        <v>1</v>
      </c>
      <c r="I46" s="1185"/>
      <c r="J46" s="1185"/>
      <c r="K46" s="1185"/>
      <c r="L46" s="1228"/>
      <c r="M46" s="1528"/>
      <c r="N46" s="1528"/>
      <c r="O46" s="1528"/>
      <c r="P46" s="289"/>
      <c r="Q46" s="287"/>
      <c r="R46" s="288"/>
      <c r="S46" s="1870" t="str">
        <f>INDEX(PT_DIFFERENTIATION_NUM_IST_TE,MATCH(D46,PT_DIFFERENTIATION_IST_TE_ID,0))</f>
        <v>...</v>
      </c>
      <c r="T46" s="246" t="s">
        <v>403</v>
      </c>
      <c r="U46" s="236"/>
      <c r="V46" s="2766"/>
      <c r="W46" s="2767"/>
      <c r="X46" s="2767"/>
      <c r="Y46" s="2767"/>
      <c r="Z46" s="2767"/>
      <c r="AA46" s="2767"/>
      <c r="AB46" s="2767"/>
      <c r="AC46" s="2768"/>
      <c r="AD46" s="2766" t="str">
        <f>INDEX(PT_DIFFERENTIATION_IST_TE,MATCH(D46,PT_DIFFERENTIATION_IST_TE_ID,0))</f>
        <v/>
      </c>
      <c r="AE46" s="2767"/>
      <c r="AF46" s="2767"/>
      <c r="AG46" s="2767"/>
      <c r="AH46" s="2767"/>
      <c r="AI46" s="2767"/>
      <c r="AJ46" s="2767"/>
      <c r="AK46" s="2767"/>
      <c r="AL46" s="2768"/>
      <c r="AM46" s="1176" t="s">
        <v>404</v>
      </c>
      <c r="AO46" s="1542"/>
      <c r="AP46" s="1542" t="str">
        <f t="shared" si="1"/>
        <v xml:space="preserve">Источник тепловой энергии  </v>
      </c>
      <c r="AQ46" s="1542"/>
      <c r="AR46" s="1542"/>
      <c r="AS46" s="1549">
        <v>21</v>
      </c>
    </row>
    <row r="47" spans="1:45" ht="49.5" customHeight="1">
      <c r="A47" s="1185" t="s">
        <v>214</v>
      </c>
      <c r="B47" s="1185" t="s">
        <v>215</v>
      </c>
      <c r="C47" s="1185" t="s">
        <v>216</v>
      </c>
      <c r="D47" s="1185" t="s">
        <v>217</v>
      </c>
      <c r="E47" s="2791"/>
      <c r="F47" s="2791"/>
      <c r="G47" s="2791"/>
      <c r="H47" s="2791"/>
      <c r="I47" s="2638" t="str">
        <f>S46&amp;".1"</f>
        <v>....1</v>
      </c>
      <c r="J47" s="1185"/>
      <c r="K47" s="1185"/>
      <c r="L47" s="1228" t="s">
        <v>405</v>
      </c>
      <c r="P47" s="2777">
        <v>1</v>
      </c>
      <c r="Q47" s="1866"/>
      <c r="R47" s="291"/>
      <c r="S47" s="1870" t="str">
        <f>$I47</f>
        <v>....1</v>
      </c>
      <c r="T47" s="221" t="s">
        <v>406</v>
      </c>
      <c r="U47" s="236"/>
      <c r="V47" s="2769"/>
      <c r="W47" s="2770"/>
      <c r="X47" s="2770"/>
      <c r="Y47" s="2770"/>
      <c r="Z47" s="2770"/>
      <c r="AA47" s="2770"/>
      <c r="AB47" s="2770"/>
      <c r="AC47" s="2771"/>
      <c r="AD47" s="2769"/>
      <c r="AE47" s="2770"/>
      <c r="AF47" s="2770"/>
      <c r="AG47" s="2770"/>
      <c r="AH47" s="2770"/>
      <c r="AI47" s="2770"/>
      <c r="AJ47" s="2770"/>
      <c r="AK47" s="2770"/>
      <c r="AL47" s="2771"/>
      <c r="AM47" s="1176" t="s">
        <v>407</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214</v>
      </c>
      <c r="B48" s="1185" t="s">
        <v>215</v>
      </c>
      <c r="C48" s="1185" t="s">
        <v>216</v>
      </c>
      <c r="D48" s="1185" t="s">
        <v>217</v>
      </c>
      <c r="E48" s="2791"/>
      <c r="F48" s="2791"/>
      <c r="G48" s="2791"/>
      <c r="H48" s="2791"/>
      <c r="I48" s="2610"/>
      <c r="J48" s="2638" t="str">
        <f>I47&amp;".1"</f>
        <v>....1.1</v>
      </c>
      <c r="K48" s="1185"/>
      <c r="L48" s="1228" t="s">
        <v>408</v>
      </c>
      <c r="P48" s="2777"/>
      <c r="Q48" s="2777">
        <v>1</v>
      </c>
      <c r="R48" s="292"/>
      <c r="S48" s="1870" t="str">
        <f>$J48</f>
        <v>....1.1</v>
      </c>
      <c r="T48" s="222" t="s">
        <v>409</v>
      </c>
      <c r="U48" s="236"/>
      <c r="V48" s="2769"/>
      <c r="W48" s="2770"/>
      <c r="X48" s="2770"/>
      <c r="Y48" s="2770"/>
      <c r="Z48" s="2770"/>
      <c r="AA48" s="2770"/>
      <c r="AB48" s="2770"/>
      <c r="AC48" s="2771"/>
      <c r="AD48" s="2769"/>
      <c r="AE48" s="2770"/>
      <c r="AF48" s="2770"/>
      <c r="AG48" s="2770"/>
      <c r="AH48" s="2770"/>
      <c r="AI48" s="2770"/>
      <c r="AJ48" s="2770"/>
      <c r="AK48" s="2770"/>
      <c r="AL48" s="2771"/>
      <c r="AM48" s="1176" t="s">
        <v>410</v>
      </c>
      <c r="AO48" s="1542"/>
      <c r="AP48" s="1542" t="str">
        <f t="shared" si="1"/>
        <v>Группа потребителей</v>
      </c>
      <c r="AQ48" s="1542"/>
      <c r="AR48" s="1542"/>
      <c r="AS48" s="1549">
        <v>21</v>
      </c>
    </row>
    <row r="49" spans="1:45" ht="21.95" customHeight="1">
      <c r="A49" s="1185" t="s">
        <v>214</v>
      </c>
      <c r="B49" s="1185" t="s">
        <v>215</v>
      </c>
      <c r="C49" s="1185" t="s">
        <v>216</v>
      </c>
      <c r="D49" s="1185" t="s">
        <v>217</v>
      </c>
      <c r="E49" s="2791"/>
      <c r="F49" s="2791"/>
      <c r="G49" s="2791"/>
      <c r="H49" s="2791"/>
      <c r="I49" s="2610"/>
      <c r="J49" s="2610"/>
      <c r="K49" s="2638" t="str">
        <f>J48&amp;".1"</f>
        <v>....1.1.1</v>
      </c>
      <c r="L49" s="1228" t="s">
        <v>411</v>
      </c>
      <c r="P49" s="2777"/>
      <c r="Q49" s="2777"/>
      <c r="R49" s="292">
        <v>1</v>
      </c>
      <c r="S49" s="1870" t="str">
        <f>$K49</f>
        <v>....1.1.1</v>
      </c>
      <c r="T49" s="1265"/>
      <c r="U49" s="236"/>
      <c r="V49" s="686"/>
      <c r="W49" s="261"/>
      <c r="X49" s="686"/>
      <c r="Y49" s="1175"/>
      <c r="Z49" s="2753"/>
      <c r="AA49" s="2619" t="s">
        <v>66</v>
      </c>
      <c r="AB49" s="2753"/>
      <c r="AC49" s="2619" t="s">
        <v>66</v>
      </c>
      <c r="AD49" s="686"/>
      <c r="AE49" s="261"/>
      <c r="AF49" s="686"/>
      <c r="AG49" s="1175"/>
      <c r="AH49" s="2753"/>
      <c r="AI49" s="2619" t="s">
        <v>66</v>
      </c>
      <c r="AJ49" s="2788"/>
      <c r="AK49" s="2619" t="s">
        <v>66</v>
      </c>
      <c r="AL49" s="1266"/>
      <c r="AM49" s="2773" t="s">
        <v>412</v>
      </c>
      <c r="AN49" s="1554" t="e">
        <f ca="1">STRCHECKDATE(V50:AL50)</f>
        <v>#NAME?</v>
      </c>
      <c r="AO49" s="1542"/>
      <c r="AP49" s="1542" t="str">
        <f t="shared" si="1"/>
        <v/>
      </c>
      <c r="AQ49" s="1542"/>
      <c r="AR49" s="1542"/>
      <c r="AS49" s="1549">
        <v>21</v>
      </c>
    </row>
    <row r="50" spans="1:45" ht="1.1499999999999999" customHeight="1">
      <c r="A50" s="1185" t="s">
        <v>214</v>
      </c>
      <c r="B50" s="1185" t="s">
        <v>215</v>
      </c>
      <c r="C50" s="1185" t="s">
        <v>216</v>
      </c>
      <c r="D50" s="1185" t="s">
        <v>217</v>
      </c>
      <c r="E50" s="2791"/>
      <c r="F50" s="2791"/>
      <c r="G50" s="2791"/>
      <c r="H50" s="2791"/>
      <c r="I50" s="2610"/>
      <c r="J50" s="2610"/>
      <c r="K50" s="2638"/>
      <c r="L50" s="1228"/>
      <c r="P50" s="2777"/>
      <c r="Q50" s="2777"/>
      <c r="R50" s="292"/>
      <c r="S50" s="1879"/>
      <c r="T50" s="236"/>
      <c r="U50" s="236"/>
      <c r="V50" s="261"/>
      <c r="W50" s="261"/>
      <c r="X50" s="261"/>
      <c r="Y50" s="264" t="str">
        <f>Z49&amp;"-"&amp;AB49</f>
        <v>-</v>
      </c>
      <c r="Z50" s="2752"/>
      <c r="AA50" s="2619"/>
      <c r="AB50" s="2752"/>
      <c r="AC50" s="2619"/>
      <c r="AD50" s="261"/>
      <c r="AE50" s="261"/>
      <c r="AF50" s="261"/>
      <c r="AG50" s="264" t="str">
        <f>AH49&amp;"-"&amp;AJ49</f>
        <v>-</v>
      </c>
      <c r="AH50" s="2752"/>
      <c r="AI50" s="2619"/>
      <c r="AJ50" s="2789"/>
      <c r="AK50" s="2619"/>
      <c r="AL50" s="1267"/>
      <c r="AM50" s="2774"/>
      <c r="AO50" s="1542"/>
      <c r="AP50" s="1542" t="str">
        <f t="shared" si="1"/>
        <v/>
      </c>
      <c r="AQ50" s="1542"/>
      <c r="AR50" s="1542"/>
      <c r="AS50" s="1549">
        <v>1</v>
      </c>
    </row>
    <row r="51" spans="1:45" ht="11.45" customHeight="1">
      <c r="A51" s="1185" t="s">
        <v>214</v>
      </c>
      <c r="B51" s="1185" t="s">
        <v>215</v>
      </c>
      <c r="C51" s="1185" t="s">
        <v>216</v>
      </c>
      <c r="D51" s="1185" t="s">
        <v>217</v>
      </c>
      <c r="E51" s="2791"/>
      <c r="F51" s="2791"/>
      <c r="G51" s="2791"/>
      <c r="H51" s="2791"/>
      <c r="I51" s="2610"/>
      <c r="J51" s="2638"/>
      <c r="K51" s="1185"/>
      <c r="L51" s="1228"/>
      <c r="P51" s="2777"/>
      <c r="Q51" s="2777"/>
      <c r="R51" s="291"/>
      <c r="S51" s="1196"/>
      <c r="T51" s="224" t="s">
        <v>413</v>
      </c>
      <c r="U51" s="535"/>
      <c r="V51" s="535"/>
      <c r="W51" s="535"/>
      <c r="X51" s="535"/>
      <c r="Y51" s="535"/>
      <c r="Z51" s="535"/>
      <c r="AA51" s="535"/>
      <c r="AB51" s="535"/>
      <c r="AC51" s="535"/>
      <c r="AD51" s="535"/>
      <c r="AE51" s="535"/>
      <c r="AF51" s="535"/>
      <c r="AG51" s="535"/>
      <c r="AH51" s="535"/>
      <c r="AI51" s="535"/>
      <c r="AJ51" s="535"/>
      <c r="AK51" s="535"/>
      <c r="AL51" s="260"/>
      <c r="AM51" s="2775"/>
      <c r="AO51" s="1542"/>
      <c r="AP51" s="1542" t="str">
        <f t="shared" si="1"/>
        <v>Добавить вид теплоносителя (параметры теплоносителя)</v>
      </c>
      <c r="AQ51" s="1542"/>
      <c r="AR51" s="1542"/>
      <c r="AS51" s="1549">
        <v>11</v>
      </c>
    </row>
    <row r="52" spans="1:45" ht="11.45" customHeight="1">
      <c r="A52" s="1185" t="s">
        <v>214</v>
      </c>
      <c r="B52" s="1185" t="s">
        <v>215</v>
      </c>
      <c r="C52" s="1185" t="s">
        <v>216</v>
      </c>
      <c r="D52" s="1185" t="s">
        <v>217</v>
      </c>
      <c r="E52" s="2791"/>
      <c r="F52" s="2791"/>
      <c r="G52" s="2791"/>
      <c r="H52" s="2791"/>
      <c r="I52" s="2638"/>
      <c r="J52" s="1185"/>
      <c r="K52" s="1185"/>
      <c r="L52" s="1228"/>
      <c r="P52" s="2777"/>
      <c r="Q52" s="1866"/>
      <c r="R52" s="291"/>
      <c r="S52" s="1196"/>
      <c r="T52" s="223" t="s">
        <v>414</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214</v>
      </c>
      <c r="B53" s="1185" t="s">
        <v>215</v>
      </c>
      <c r="C53" s="1185" t="s">
        <v>216</v>
      </c>
      <c r="D53" s="1185" t="s">
        <v>217</v>
      </c>
      <c r="E53" s="2791"/>
      <c r="F53" s="2791"/>
      <c r="G53" s="2791"/>
      <c r="H53" s="2790"/>
      <c r="I53" s="1185"/>
      <c r="J53" s="1185"/>
      <c r="K53" s="1185"/>
      <c r="L53" s="1228"/>
      <c r="M53" s="1528"/>
      <c r="N53" s="1528"/>
      <c r="O53" s="1553"/>
      <c r="P53" s="295"/>
      <c r="Q53" s="310"/>
      <c r="R53" s="290"/>
      <c r="S53" s="1196"/>
      <c r="T53" s="300" t="s">
        <v>415</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520" customFormat="1" ht="4.1500000000000004" customHeight="1">
      <c r="A54" s="1293" t="s">
        <v>214</v>
      </c>
      <c r="B54" s="1293" t="s">
        <v>215</v>
      </c>
      <c r="C54" s="1293" t="s">
        <v>216</v>
      </c>
      <c r="D54" s="1292"/>
      <c r="E54" s="2791"/>
      <c r="F54" s="2791"/>
      <c r="G54" s="2790"/>
      <c r="H54" s="1292"/>
      <c r="I54" s="1292"/>
      <c r="J54" s="1292"/>
      <c r="K54" s="1292"/>
      <c r="L54" s="1295"/>
      <c r="M54" s="1296"/>
      <c r="N54" s="1296"/>
      <c r="O54" s="286"/>
      <c r="P54" s="1234"/>
      <c r="Q54" s="1235"/>
      <c r="R54" s="1234"/>
      <c r="S54" s="1240"/>
      <c r="T54" s="1243" t="s">
        <v>160</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520" customFormat="1" ht="4.1500000000000004" customHeight="1">
      <c r="A55" s="1293" t="s">
        <v>214</v>
      </c>
      <c r="B55" s="1293" t="s">
        <v>215</v>
      </c>
      <c r="C55" s="1292"/>
      <c r="D55" s="1292"/>
      <c r="E55" s="2791"/>
      <c r="F55" s="2790"/>
      <c r="G55" s="1292"/>
      <c r="H55" s="1292"/>
      <c r="I55" s="1292"/>
      <c r="J55" s="1292"/>
      <c r="K55" s="1292"/>
      <c r="L55" s="1295"/>
      <c r="M55" s="1297"/>
      <c r="N55" s="1297"/>
      <c r="O55" s="286"/>
      <c r="P55" s="1234"/>
      <c r="Q55" s="1235"/>
      <c r="R55" s="1234"/>
      <c r="S55" s="1240"/>
      <c r="T55" s="1243" t="s">
        <v>161</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520" customFormat="1" ht="4.1500000000000004" customHeight="1">
      <c r="A56" s="1293" t="s">
        <v>214</v>
      </c>
      <c r="B56" s="1293"/>
      <c r="C56" s="1293"/>
      <c r="D56" s="1293"/>
      <c r="E56" s="2790"/>
      <c r="F56" s="1293"/>
      <c r="G56" s="1293"/>
      <c r="H56" s="1293"/>
      <c r="I56" s="1293"/>
      <c r="J56" s="1293"/>
      <c r="K56" s="1293"/>
      <c r="L56" s="1299"/>
      <c r="M56" s="1297"/>
      <c r="N56" s="1297"/>
      <c r="O56" s="286"/>
      <c r="P56" s="315"/>
      <c r="Q56" s="1262"/>
      <c r="R56" s="315"/>
      <c r="S56" s="1240"/>
      <c r="T56" s="1243" t="s">
        <v>162</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520"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163</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786"/>
      <c r="U59" s="2786"/>
      <c r="V59" s="2786"/>
      <c r="W59" s="2786"/>
      <c r="X59" s="2786"/>
      <c r="Y59" s="2786"/>
      <c r="Z59" s="2786"/>
      <c r="AA59" s="2786"/>
      <c r="AB59" s="2786"/>
      <c r="AC59" s="2786"/>
      <c r="AD59" s="2786"/>
      <c r="AE59" s="2786"/>
      <c r="AF59" s="2786"/>
      <c r="AG59" s="2786"/>
      <c r="AH59" s="2786"/>
      <c r="AI59" s="2786"/>
      <c r="AJ59" s="2786"/>
      <c r="AK59" s="2786"/>
      <c r="AL59" s="2786"/>
      <c r="AM59" s="2786"/>
      <c r="AS59" s="1549">
        <v>27</v>
      </c>
    </row>
    <row r="60" spans="1:45" ht="65.25" customHeight="1">
      <c r="O60" s="1553"/>
      <c r="T60" s="2786"/>
      <c r="U60" s="2786"/>
      <c r="V60" s="2786"/>
      <c r="W60" s="2786"/>
      <c r="X60" s="2786"/>
      <c r="Y60" s="2786"/>
      <c r="Z60" s="2786"/>
      <c r="AA60" s="2786"/>
      <c r="AB60" s="2786"/>
      <c r="AC60" s="2786"/>
      <c r="AD60" s="2786"/>
      <c r="AE60" s="2786"/>
      <c r="AF60" s="2786"/>
      <c r="AG60" s="2786"/>
      <c r="AH60" s="2786"/>
      <c r="AI60" s="2786"/>
      <c r="AJ60" s="2786"/>
      <c r="AK60" s="2786"/>
      <c r="AL60" s="2786"/>
      <c r="AM60" s="2786"/>
      <c r="AS60" s="1549">
        <v>62</v>
      </c>
    </row>
    <row r="61" spans="1:45" ht="14.65" customHeight="1">
      <c r="O61" s="1553"/>
      <c r="AS61" s="1549">
        <v>14</v>
      </c>
    </row>
    <row r="62" spans="1:45" ht="18.75" customHeight="1">
      <c r="O62" s="1553"/>
      <c r="S62" s="1171"/>
      <c r="T62" s="2786"/>
      <c r="U62" s="2786"/>
      <c r="V62" s="2786"/>
      <c r="W62" s="2786"/>
      <c r="X62" s="2786"/>
      <c r="Y62" s="2786"/>
      <c r="Z62" s="2786"/>
      <c r="AA62" s="2786"/>
      <c r="AB62" s="2786"/>
      <c r="AC62" s="2786"/>
      <c r="AD62" s="2786"/>
      <c r="AE62" s="2786"/>
      <c r="AF62" s="2786"/>
      <c r="AG62" s="2786"/>
      <c r="AH62" s="2786"/>
      <c r="AI62" s="2786"/>
      <c r="AJ62" s="2786"/>
      <c r="AK62" s="2786"/>
      <c r="AL62" s="2786"/>
      <c r="AM62" s="2786"/>
      <c r="AS62" s="1549">
        <v>18</v>
      </c>
    </row>
    <row r="63" spans="1:45" ht="18.75" customHeight="1">
      <c r="O63" s="1553"/>
      <c r="T63" s="2786"/>
      <c r="U63" s="2786"/>
      <c r="V63" s="2786"/>
      <c r="W63" s="2786"/>
      <c r="X63" s="2786"/>
      <c r="Y63" s="2786"/>
      <c r="Z63" s="2786"/>
      <c r="AA63" s="2786"/>
      <c r="AB63" s="2786"/>
      <c r="AC63" s="2786"/>
      <c r="AD63" s="2786"/>
      <c r="AE63" s="2786"/>
      <c r="AF63" s="2786"/>
      <c r="AG63" s="2786"/>
      <c r="AH63" s="2786"/>
      <c r="AI63" s="2786"/>
      <c r="AJ63" s="2786"/>
      <c r="AK63" s="2786"/>
      <c r="AL63" s="2786"/>
      <c r="AM63" s="2786"/>
      <c r="AS63" s="1549">
        <v>18</v>
      </c>
    </row>
    <row r="64" spans="1:45" ht="29.25" customHeight="1">
      <c r="O64" s="1553"/>
      <c r="S64" s="1171"/>
      <c r="T64" s="2786"/>
      <c r="U64" s="2786"/>
      <c r="V64" s="2786"/>
      <c r="W64" s="2786"/>
      <c r="X64" s="2786"/>
      <c r="Y64" s="2786"/>
      <c r="Z64" s="2786"/>
      <c r="AA64" s="2786"/>
      <c r="AB64" s="2786"/>
      <c r="AC64" s="2786"/>
      <c r="AD64" s="2786"/>
      <c r="AE64" s="2786"/>
      <c r="AF64" s="2786"/>
      <c r="AG64" s="2786"/>
      <c r="AH64" s="2786"/>
      <c r="AI64" s="2786"/>
      <c r="AJ64" s="2786"/>
      <c r="AK64" s="2786"/>
      <c r="AL64" s="2786"/>
      <c r="AM64" s="2786"/>
      <c r="AS64" s="1549">
        <v>28</v>
      </c>
    </row>
    <row r="65" spans="1:45" ht="22.5" hidden="1" customHeight="1">
      <c r="A65" s="1549" t="s">
        <v>81</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513" hidden="1"/>
    <col min="2" max="2" width="11" style="2513" hidden="1" customWidth="1"/>
    <col min="3" max="3" width="10.5703125" style="2513" hidden="1"/>
    <col min="4" max="4" width="11.85546875" style="2513" hidden="1" customWidth="1"/>
    <col min="5" max="5" width="10" style="2513" hidden="1" customWidth="1"/>
    <col min="6" max="6" width="8.7109375" style="2513" hidden="1" customWidth="1"/>
    <col min="7" max="7" width="7.5703125" style="2513" hidden="1" customWidth="1"/>
    <col min="8" max="8" width="11.42578125" style="2513" hidden="1" customWidth="1"/>
    <col min="9" max="9" width="12" style="2513" hidden="1" customWidth="1"/>
    <col min="10" max="10" width="9.85546875" style="2513" hidden="1" customWidth="1"/>
    <col min="11" max="11" width="11.42578125" style="2513" hidden="1" customWidth="1"/>
    <col min="12" max="12" width="19.140625" style="2517" hidden="1" customWidth="1"/>
    <col min="13" max="14" width="12.28515625" style="2547" hidden="1" customWidth="1"/>
    <col min="15" max="15" width="23.42578125" style="2547" hidden="1" customWidth="1"/>
    <col min="16" max="16" width="3" style="2547" customWidth="1"/>
    <col min="17" max="18" width="3" style="2548" customWidth="1"/>
    <col min="19" max="19" width="12" style="2549" customWidth="1"/>
    <col min="20" max="20" width="31" style="2513" customWidth="1"/>
    <col min="21" max="21" width="0.140625" style="2513" customWidth="1"/>
    <col min="22" max="22" width="24.7109375" style="2513" hidden="1" customWidth="1"/>
    <col min="23" max="23" width="0.140625" style="2513" hidden="1" customWidth="1"/>
    <col min="24" max="25" width="24.7109375" style="2513" hidden="1" customWidth="1"/>
    <col min="26" max="26" width="11.7109375" style="2513" hidden="1" customWidth="1"/>
    <col min="27" max="27" width="3.7109375" style="2513" hidden="1" customWidth="1"/>
    <col min="28" max="28" width="11.7109375" style="2513" hidden="1" customWidth="1"/>
    <col min="29" max="29" width="8.5703125" style="2513" hidden="1" customWidth="1"/>
    <col min="30" max="30" width="24.7109375" style="2513" customWidth="1"/>
    <col min="31" max="31" width="0.140625" style="2513" customWidth="1"/>
    <col min="32" max="33" width="24" style="2513" customWidth="1"/>
    <col min="34" max="34" width="11" style="2513" customWidth="1"/>
    <col min="35" max="35" width="3.7109375" style="2513" customWidth="1"/>
    <col min="36" max="36" width="11" style="2513" customWidth="1"/>
    <col min="37" max="37" width="8.5703125" style="2513" hidden="1" customWidth="1"/>
    <col min="38" max="38" width="4" style="2513" customWidth="1"/>
    <col min="39" max="39" width="115" style="2513" customWidth="1"/>
    <col min="40" max="44" width="10" style="2520" customWidth="1"/>
    <col min="45" max="45" width="10.5703125" style="2513" hidden="1"/>
  </cols>
  <sheetData>
    <row r="1" spans="1:45" ht="22.5" hidden="1" customHeight="1">
      <c r="AS1" s="1549" t="s">
        <v>14</v>
      </c>
    </row>
    <row r="2" spans="1:45" ht="21" hidden="1" customHeight="1">
      <c r="A2" s="1185"/>
      <c r="B2" s="1185"/>
      <c r="C2" s="1185"/>
      <c r="D2" s="1185"/>
      <c r="E2" s="2790">
        <v>1</v>
      </c>
      <c r="F2" s="1185"/>
      <c r="G2" s="1185"/>
      <c r="H2" s="1185"/>
      <c r="I2" s="1185"/>
      <c r="J2" s="1185"/>
      <c r="K2" s="1185"/>
      <c r="L2" s="1228"/>
      <c r="M2" s="1528"/>
      <c r="N2" s="1528"/>
      <c r="O2" s="1528"/>
      <c r="P2" s="1508"/>
      <c r="Q2" s="295"/>
      <c r="R2" s="290"/>
      <c r="S2" s="1870" t="e">
        <f>INDEX(PT_DIFFERENTIATION_NUM_NTAR,MATCH(A2,PT_DIFFERENTIATION_NTAR_ID,0))</f>
        <v>#N/A</v>
      </c>
      <c r="T2" s="1443" t="s">
        <v>122</v>
      </c>
      <c r="U2" s="236"/>
      <c r="V2" s="2766"/>
      <c r="W2" s="2767"/>
      <c r="X2" s="2767"/>
      <c r="Y2" s="2767"/>
      <c r="Z2" s="2767"/>
      <c r="AA2" s="2767"/>
      <c r="AB2" s="2767"/>
      <c r="AC2" s="2768"/>
      <c r="AD2" s="2766" t="e">
        <f>INDEX(PT_DIFFERENTIATION_NTAR,MATCH(A2,PT_DIFFERENTIATION_NTAR_ID,0))</f>
        <v>#N/A</v>
      </c>
      <c r="AE2" s="2767"/>
      <c r="AF2" s="2767"/>
      <c r="AG2" s="2767"/>
      <c r="AH2" s="2767"/>
      <c r="AI2" s="2767"/>
      <c r="AJ2" s="2767"/>
      <c r="AK2" s="2767"/>
      <c r="AL2" s="2768"/>
      <c r="AM2" s="1176" t="s">
        <v>398</v>
      </c>
      <c r="AO2" s="1542"/>
      <c r="AP2" s="1542" t="str">
        <f t="shared" ref="AP2:AP15" si="0">IF(T2="","",T2)</f>
        <v>Наименование тарифа</v>
      </c>
      <c r="AQ2" s="1542"/>
      <c r="AR2" s="1542"/>
      <c r="AS2" s="1549">
        <v>0</v>
      </c>
    </row>
    <row r="3" spans="1:45" ht="21" hidden="1" customHeight="1">
      <c r="A3" s="1185"/>
      <c r="B3" s="1185"/>
      <c r="C3" s="1185"/>
      <c r="D3" s="1185"/>
      <c r="E3" s="2791"/>
      <c r="F3" s="2790">
        <v>1</v>
      </c>
      <c r="G3" s="1185"/>
      <c r="H3" s="1185"/>
      <c r="I3" s="1185"/>
      <c r="J3" s="1185"/>
      <c r="K3" s="1185"/>
      <c r="L3" s="1228"/>
      <c r="M3" s="1528"/>
      <c r="N3" s="1528"/>
      <c r="O3" s="1528"/>
      <c r="P3" s="1852"/>
      <c r="Q3" s="287"/>
      <c r="R3" s="288"/>
      <c r="S3" s="1870" t="e">
        <f>INDEX(PT_DIFFERENTIATION_NUM_TER,MATCH(B3,PT_DIFFERENTIATION_TER_ID,0))</f>
        <v>#N/A</v>
      </c>
      <c r="T3" s="1440" t="s">
        <v>399</v>
      </c>
      <c r="U3" s="236"/>
      <c r="V3" s="2766"/>
      <c r="W3" s="2767"/>
      <c r="X3" s="2767"/>
      <c r="Y3" s="2767"/>
      <c r="Z3" s="2767"/>
      <c r="AA3" s="2767"/>
      <c r="AB3" s="2767"/>
      <c r="AC3" s="2768"/>
      <c r="AD3" s="2766" t="e">
        <f>INDEX(PT_DIFFERENTIATION_TER,MATCH(B3,PT_DIFFERENTIATION_TER_ID,0))</f>
        <v>#N/A</v>
      </c>
      <c r="AE3" s="2767"/>
      <c r="AF3" s="2767"/>
      <c r="AG3" s="2767"/>
      <c r="AH3" s="2767"/>
      <c r="AI3" s="2767"/>
      <c r="AJ3" s="2767"/>
      <c r="AK3" s="2767"/>
      <c r="AL3" s="2768"/>
      <c r="AM3" s="1176" t="s">
        <v>400</v>
      </c>
      <c r="AO3" s="1542"/>
      <c r="AP3" s="1542" t="str">
        <f t="shared" si="0"/>
        <v>Территория действия тарифа</v>
      </c>
      <c r="AQ3" s="1542"/>
      <c r="AR3" s="1542"/>
      <c r="AS3" s="1549">
        <v>0</v>
      </c>
    </row>
    <row r="4" spans="1:45" ht="23.25" hidden="1" customHeight="1">
      <c r="A4" s="1185"/>
      <c r="B4" s="1185"/>
      <c r="C4" s="1185"/>
      <c r="D4" s="1185"/>
      <c r="E4" s="2791"/>
      <c r="F4" s="2791"/>
      <c r="G4" s="2790">
        <v>1</v>
      </c>
      <c r="H4" s="1185"/>
      <c r="I4" s="1185"/>
      <c r="J4" s="1185"/>
      <c r="K4" s="1185"/>
      <c r="L4" s="1228"/>
      <c r="M4" s="1528"/>
      <c r="N4" s="1528"/>
      <c r="O4" s="1528"/>
      <c r="P4" s="289"/>
      <c r="Q4" s="287"/>
      <c r="R4" s="288"/>
      <c r="S4" s="1870" t="e">
        <f>INDEX(PT_DIFFERENTIATION_NUM_CS,MATCH(C4,PT_DIFFERENTIATION_CS_ID,0))</f>
        <v>#N/A</v>
      </c>
      <c r="T4" s="245" t="s">
        <v>401</v>
      </c>
      <c r="U4" s="236"/>
      <c r="V4" s="2766"/>
      <c r="W4" s="2767"/>
      <c r="X4" s="2767"/>
      <c r="Y4" s="2767"/>
      <c r="Z4" s="2767"/>
      <c r="AA4" s="2767"/>
      <c r="AB4" s="2767"/>
      <c r="AC4" s="2768"/>
      <c r="AD4" s="2766" t="e">
        <f>INDEX(PT_DIFFERENTIATION_CS,MATCH(C4,PT_DIFFERENTIATION_CS_ID,0))</f>
        <v>#N/A</v>
      </c>
      <c r="AE4" s="2767"/>
      <c r="AF4" s="2767"/>
      <c r="AG4" s="2767"/>
      <c r="AH4" s="2767"/>
      <c r="AI4" s="2767"/>
      <c r="AJ4" s="2767"/>
      <c r="AK4" s="2767"/>
      <c r="AL4" s="2768"/>
      <c r="AM4" s="1176" t="s">
        <v>402</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791"/>
      <c r="F5" s="2791"/>
      <c r="G5" s="2791"/>
      <c r="H5" s="2790">
        <v>1</v>
      </c>
      <c r="I5" s="1185"/>
      <c r="J5" s="1185"/>
      <c r="K5" s="1185"/>
      <c r="L5" s="1228"/>
      <c r="M5" s="1528"/>
      <c r="N5" s="1528"/>
      <c r="O5" s="1528"/>
      <c r="P5" s="289"/>
      <c r="Q5" s="287"/>
      <c r="R5" s="288"/>
      <c r="S5" s="1870" t="e">
        <f>INDEX(PT_DIFFERENTIATION_NUM_IST_TE,MATCH(D5,PT_DIFFERENTIATION_IST_TE_ID,0))</f>
        <v>#N/A</v>
      </c>
      <c r="T5" s="246" t="s">
        <v>403</v>
      </c>
      <c r="U5" s="236"/>
      <c r="V5" s="2766"/>
      <c r="W5" s="2767"/>
      <c r="X5" s="2767"/>
      <c r="Y5" s="2767"/>
      <c r="Z5" s="2767"/>
      <c r="AA5" s="2767"/>
      <c r="AB5" s="2767"/>
      <c r="AC5" s="2768"/>
      <c r="AD5" s="2766" t="e">
        <f>INDEX(PT_DIFFERENTIATION_IST_TE,MATCH(D5,PT_DIFFERENTIATION_IST_TE_ID,0))</f>
        <v>#N/A</v>
      </c>
      <c r="AE5" s="2767"/>
      <c r="AF5" s="2767"/>
      <c r="AG5" s="2767"/>
      <c r="AH5" s="2767"/>
      <c r="AI5" s="2767"/>
      <c r="AJ5" s="2767"/>
      <c r="AK5" s="2767"/>
      <c r="AL5" s="2768"/>
      <c r="AM5" s="1176" t="s">
        <v>404</v>
      </c>
      <c r="AO5" s="1542"/>
      <c r="AP5" s="1542" t="str">
        <f t="shared" si="0"/>
        <v xml:space="preserve">Источник тепловой энергии  </v>
      </c>
      <c r="AQ5" s="1542"/>
      <c r="AR5" s="1542"/>
      <c r="AS5" s="1549">
        <v>0</v>
      </c>
    </row>
    <row r="6" spans="1:45" ht="47.25" hidden="1" customHeight="1">
      <c r="A6" s="1185"/>
      <c r="B6" s="1185"/>
      <c r="C6" s="1185"/>
      <c r="D6" s="1185"/>
      <c r="E6" s="2791"/>
      <c r="F6" s="2791"/>
      <c r="G6" s="2791"/>
      <c r="H6" s="2791"/>
      <c r="I6" s="2638" t="e">
        <f>S5&amp;".1"</f>
        <v>#N/A</v>
      </c>
      <c r="J6" s="1185"/>
      <c r="K6" s="1185"/>
      <c r="L6" s="1228" t="s">
        <v>405</v>
      </c>
      <c r="M6" s="1553"/>
      <c r="P6" s="2777">
        <v>1</v>
      </c>
      <c r="Q6" s="1866"/>
      <c r="R6" s="291"/>
      <c r="S6" s="1870" t="e">
        <f>$I6</f>
        <v>#N/A</v>
      </c>
      <c r="T6" s="221" t="s">
        <v>406</v>
      </c>
      <c r="U6" s="236"/>
      <c r="V6" s="2769"/>
      <c r="W6" s="2770"/>
      <c r="X6" s="2770"/>
      <c r="Y6" s="2770"/>
      <c r="Z6" s="2770"/>
      <c r="AA6" s="2770"/>
      <c r="AB6" s="2770"/>
      <c r="AC6" s="2771"/>
      <c r="AD6" s="2769"/>
      <c r="AE6" s="2770"/>
      <c r="AF6" s="2770"/>
      <c r="AG6" s="2770"/>
      <c r="AH6" s="2770"/>
      <c r="AI6" s="2770"/>
      <c r="AJ6" s="2770"/>
      <c r="AK6" s="2770"/>
      <c r="AL6" s="2771"/>
      <c r="AM6" s="1176" t="s">
        <v>407</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791"/>
      <c r="F7" s="2791"/>
      <c r="G7" s="2791"/>
      <c r="H7" s="2791"/>
      <c r="I7" s="2610"/>
      <c r="J7" s="2638" t="e">
        <f>I6&amp;".1"</f>
        <v>#N/A</v>
      </c>
      <c r="K7" s="1185"/>
      <c r="L7" s="1228" t="s">
        <v>408</v>
      </c>
      <c r="M7" s="1553"/>
      <c r="N7" s="1549"/>
      <c r="P7" s="2777"/>
      <c r="Q7" s="2777">
        <v>1</v>
      </c>
      <c r="R7" s="292"/>
      <c r="S7" s="1870" t="e">
        <f>$J7</f>
        <v>#N/A</v>
      </c>
      <c r="T7" s="222" t="s">
        <v>409</v>
      </c>
      <c r="U7" s="236"/>
      <c r="V7" s="2769"/>
      <c r="W7" s="2770"/>
      <c r="X7" s="2770"/>
      <c r="Y7" s="2770"/>
      <c r="Z7" s="2770"/>
      <c r="AA7" s="2770"/>
      <c r="AB7" s="2770"/>
      <c r="AC7" s="2771"/>
      <c r="AD7" s="2769"/>
      <c r="AE7" s="2770"/>
      <c r="AF7" s="2770"/>
      <c r="AG7" s="2770"/>
      <c r="AH7" s="2770"/>
      <c r="AI7" s="2770"/>
      <c r="AJ7" s="2770"/>
      <c r="AK7" s="2770"/>
      <c r="AL7" s="2771"/>
      <c r="AM7" s="1176" t="s">
        <v>410</v>
      </c>
      <c r="AO7" s="1542"/>
      <c r="AP7" s="1542" t="str">
        <f t="shared" si="0"/>
        <v>Группа потребителей</v>
      </c>
      <c r="AQ7" s="1542"/>
      <c r="AR7" s="1542"/>
      <c r="AS7" s="1549">
        <v>0</v>
      </c>
    </row>
    <row r="8" spans="1:45" ht="21" hidden="1" customHeight="1">
      <c r="A8" s="1185"/>
      <c r="B8" s="1185"/>
      <c r="C8" s="1185"/>
      <c r="D8" s="1185"/>
      <c r="E8" s="2791"/>
      <c r="F8" s="2791"/>
      <c r="G8" s="2791"/>
      <c r="H8" s="2791"/>
      <c r="I8" s="2610"/>
      <c r="J8" s="2610"/>
      <c r="K8" s="2638" t="e">
        <f>J7&amp;".1"</f>
        <v>#N/A</v>
      </c>
      <c r="L8" s="1228" t="s">
        <v>411</v>
      </c>
      <c r="M8" s="1553"/>
      <c r="N8" s="1549"/>
      <c r="O8" s="1549"/>
      <c r="P8" s="2777"/>
      <c r="Q8" s="2777"/>
      <c r="R8" s="292">
        <v>1</v>
      </c>
      <c r="S8" s="1870" t="e">
        <f>$K8</f>
        <v>#N/A</v>
      </c>
      <c r="T8" s="1265"/>
      <c r="U8" s="236"/>
      <c r="V8" s="686"/>
      <c r="W8" s="261"/>
      <c r="X8" s="686"/>
      <c r="Y8" s="1175"/>
      <c r="Z8" s="2753"/>
      <c r="AA8" s="2619" t="s">
        <v>66</v>
      </c>
      <c r="AB8" s="2753"/>
      <c r="AC8" s="2619" t="s">
        <v>66</v>
      </c>
      <c r="AD8" s="686"/>
      <c r="AE8" s="261"/>
      <c r="AF8" s="686"/>
      <c r="AG8" s="1175"/>
      <c r="AH8" s="2753"/>
      <c r="AI8" s="2619" t="s">
        <v>66</v>
      </c>
      <c r="AJ8" s="2753"/>
      <c r="AK8" s="2619" t="s">
        <v>66</v>
      </c>
      <c r="AL8" s="261"/>
      <c r="AM8" s="2773" t="s">
        <v>412</v>
      </c>
      <c r="AN8" s="1554" t="e">
        <f ca="1">STRCHECKDATE(V9:AL9)</f>
        <v>#NAME?</v>
      </c>
      <c r="AO8" s="1542"/>
      <c r="AP8" s="1542" t="str">
        <f t="shared" si="0"/>
        <v/>
      </c>
      <c r="AQ8" s="1542"/>
      <c r="AR8" s="1542"/>
      <c r="AS8" s="1549">
        <v>0</v>
      </c>
    </row>
    <row r="9" spans="1:45" ht="0.75" hidden="1" customHeight="1">
      <c r="A9" s="1185"/>
      <c r="B9" s="1185"/>
      <c r="C9" s="1185"/>
      <c r="D9" s="1185"/>
      <c r="E9" s="2791"/>
      <c r="F9" s="2791"/>
      <c r="G9" s="2791"/>
      <c r="H9" s="2791"/>
      <c r="I9" s="2610"/>
      <c r="J9" s="2610"/>
      <c r="K9" s="2638"/>
      <c r="L9" s="1228"/>
      <c r="M9" s="1553"/>
      <c r="N9" s="1549"/>
      <c r="O9" s="1549"/>
      <c r="P9" s="2777"/>
      <c r="Q9" s="2777"/>
      <c r="R9" s="292"/>
      <c r="S9" s="1879"/>
      <c r="T9" s="236"/>
      <c r="U9" s="236"/>
      <c r="V9" s="261"/>
      <c r="W9" s="261"/>
      <c r="X9" s="261"/>
      <c r="Y9" s="264" t="str">
        <f>Z8&amp;"-"&amp;AB8</f>
        <v>-</v>
      </c>
      <c r="Z9" s="2752"/>
      <c r="AA9" s="2619"/>
      <c r="AB9" s="2752"/>
      <c r="AC9" s="2619"/>
      <c r="AD9" s="261"/>
      <c r="AE9" s="261"/>
      <c r="AF9" s="261"/>
      <c r="AG9" s="264" t="str">
        <f>AH8&amp;"-"&amp;AJ8</f>
        <v>-</v>
      </c>
      <c r="AH9" s="2752"/>
      <c r="AI9" s="2619"/>
      <c r="AJ9" s="2752"/>
      <c r="AK9" s="2619"/>
      <c r="AL9" s="261"/>
      <c r="AM9" s="2774"/>
      <c r="AO9" s="1542"/>
      <c r="AP9" s="1542" t="str">
        <f t="shared" si="0"/>
        <v/>
      </c>
      <c r="AQ9" s="1542"/>
      <c r="AR9" s="1542"/>
      <c r="AS9" s="1549">
        <v>0</v>
      </c>
    </row>
    <row r="10" spans="1:45" ht="15" hidden="1" customHeight="1">
      <c r="A10" s="1185"/>
      <c r="B10" s="1185"/>
      <c r="C10" s="1185"/>
      <c r="D10" s="1185"/>
      <c r="E10" s="2791"/>
      <c r="F10" s="2791"/>
      <c r="G10" s="2791"/>
      <c r="H10" s="2791"/>
      <c r="I10" s="2610"/>
      <c r="J10" s="2638"/>
      <c r="K10" s="1185"/>
      <c r="L10" s="1228"/>
      <c r="M10" s="1553"/>
      <c r="N10" s="1549"/>
      <c r="P10" s="2777"/>
      <c r="Q10" s="2777"/>
      <c r="R10" s="291"/>
      <c r="S10" s="1196"/>
      <c r="T10" s="224" t="s">
        <v>413</v>
      </c>
      <c r="U10" s="535"/>
      <c r="V10" s="535"/>
      <c r="W10" s="535"/>
      <c r="X10" s="535"/>
      <c r="Y10" s="535"/>
      <c r="Z10" s="535"/>
      <c r="AA10" s="535"/>
      <c r="AB10" s="535"/>
      <c r="AC10" s="535"/>
      <c r="AD10" s="535"/>
      <c r="AE10" s="535"/>
      <c r="AF10" s="535"/>
      <c r="AG10" s="535"/>
      <c r="AH10" s="535"/>
      <c r="AI10" s="535"/>
      <c r="AJ10" s="535"/>
      <c r="AK10" s="535"/>
      <c r="AL10" s="260"/>
      <c r="AM10" s="2775"/>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791"/>
      <c r="F11" s="2791"/>
      <c r="G11" s="2791"/>
      <c r="H11" s="2791"/>
      <c r="I11" s="2638"/>
      <c r="J11" s="1185"/>
      <c r="K11" s="1185"/>
      <c r="L11" s="1228"/>
      <c r="M11" s="1553"/>
      <c r="P11" s="2777"/>
      <c r="Q11" s="1866"/>
      <c r="R11" s="291"/>
      <c r="S11" s="1196"/>
      <c r="T11" s="223" t="s">
        <v>414</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791"/>
      <c r="F12" s="2791"/>
      <c r="G12" s="2791"/>
      <c r="H12" s="2790"/>
      <c r="I12" s="1185"/>
      <c r="J12" s="1185"/>
      <c r="K12" s="1185"/>
      <c r="L12" s="1228"/>
      <c r="M12" s="1528"/>
      <c r="N12" s="1528"/>
      <c r="O12" s="1553"/>
      <c r="P12" s="295"/>
      <c r="Q12" s="310"/>
      <c r="R12" s="290"/>
      <c r="S12" s="1196"/>
      <c r="T12" s="300" t="s">
        <v>415</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520" customFormat="1" ht="0.75" hidden="1" customHeight="1">
      <c r="A13" s="1886"/>
      <c r="B13" s="1886"/>
      <c r="C13" s="1886"/>
      <c r="D13" s="1886"/>
      <c r="E13" s="2791"/>
      <c r="F13" s="2791"/>
      <c r="G13" s="2790"/>
      <c r="H13" s="1886"/>
      <c r="I13" s="1886"/>
      <c r="J13" s="1886"/>
      <c r="K13" s="1886"/>
      <c r="L13" s="1298"/>
      <c r="M13" s="1528"/>
      <c r="N13" s="1528"/>
      <c r="O13" s="1553"/>
      <c r="P13" s="1234"/>
      <c r="Q13" s="1235"/>
      <c r="R13" s="1234"/>
      <c r="S13" s="1236"/>
      <c r="T13" s="1237" t="s">
        <v>160</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520" customFormat="1" ht="0.75" hidden="1" customHeight="1">
      <c r="A14" s="1886"/>
      <c r="B14" s="1886"/>
      <c r="C14" s="1886"/>
      <c r="D14" s="1886"/>
      <c r="E14" s="2791"/>
      <c r="F14" s="2790"/>
      <c r="G14" s="1886"/>
      <c r="H14" s="1886"/>
      <c r="I14" s="1886"/>
      <c r="J14" s="1886"/>
      <c r="K14" s="1886"/>
      <c r="L14" s="1298"/>
      <c r="M14" s="1887"/>
      <c r="N14" s="1887"/>
      <c r="O14" s="1553"/>
      <c r="P14" s="1234"/>
      <c r="Q14" s="1235"/>
      <c r="R14" s="1234"/>
      <c r="S14" s="1240"/>
      <c r="T14" s="1241" t="s">
        <v>161</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520" customFormat="1" ht="0.75" hidden="1" customHeight="1">
      <c r="A15" s="1886"/>
      <c r="B15" s="1886"/>
      <c r="C15" s="1886"/>
      <c r="D15" s="1886"/>
      <c r="E15" s="2790"/>
      <c r="F15" s="1886"/>
      <c r="G15" s="1886"/>
      <c r="H15" s="1886"/>
      <c r="I15" s="1886"/>
      <c r="J15" s="1886"/>
      <c r="K15" s="1886"/>
      <c r="L15" s="1298"/>
      <c r="M15" s="1887"/>
      <c r="N15" s="1887"/>
      <c r="O15" s="1553"/>
      <c r="P15" s="1234"/>
      <c r="Q15" s="1235"/>
      <c r="R15" s="1234"/>
      <c r="S15" s="1240"/>
      <c r="T15" s="1243" t="s">
        <v>162</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780"/>
      <c r="AI17" s="2781" t="s">
        <v>66</v>
      </c>
      <c r="AJ17" s="2780"/>
      <c r="AK17" s="2781" t="s">
        <v>66</v>
      </c>
      <c r="AS17" s="1549">
        <v>0</v>
      </c>
    </row>
    <row r="18" spans="1:45" ht="14.25" hidden="1" customHeight="1">
      <c r="AD18" s="1278"/>
      <c r="AE18" s="1278"/>
      <c r="AF18" s="1278"/>
      <c r="AG18" s="264" t="str">
        <f>AH17&amp;"-"&amp;AJ17</f>
        <v>-</v>
      </c>
      <c r="AH18" s="2781"/>
      <c r="AI18" s="2781"/>
      <c r="AJ18" s="2781"/>
      <c r="AK18" s="2781"/>
      <c r="AS18" s="1549">
        <v>0</v>
      </c>
    </row>
    <row r="19" spans="1:45" ht="14.25" hidden="1" customHeight="1">
      <c r="AS19" s="1549">
        <v>0</v>
      </c>
    </row>
    <row r="20" spans="1:45" s="2519" customFormat="1" ht="14.25" hidden="1" customHeight="1">
      <c r="A20" s="1549"/>
      <c r="B20" s="1549"/>
      <c r="C20" s="1549"/>
      <c r="D20" s="1549"/>
      <c r="E20" s="1549"/>
      <c r="F20" s="1549"/>
      <c r="G20" s="1549"/>
      <c r="H20" s="1549"/>
      <c r="I20" s="1549"/>
      <c r="J20" s="1549"/>
      <c r="K20" s="1549"/>
      <c r="L20" s="1851"/>
      <c r="M20" s="1877"/>
      <c r="N20" s="1877"/>
      <c r="O20" s="1263" t="s">
        <v>416</v>
      </c>
      <c r="P20" s="1280"/>
      <c r="Q20" s="1289"/>
      <c r="R20" s="1289"/>
      <c r="S20" s="664"/>
      <c r="Z20" s="1285"/>
      <c r="AB20" s="1285"/>
      <c r="AH20" s="1285"/>
      <c r="AJ20" s="1285"/>
      <c r="AN20" s="1554"/>
      <c r="AO20" s="1554"/>
      <c r="AP20" s="1554"/>
      <c r="AQ20" s="1554"/>
      <c r="AR20" s="1554"/>
      <c r="AS20" s="1284">
        <v>0</v>
      </c>
    </row>
    <row r="21" spans="1:45" s="2519"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519" customFormat="1" ht="14.25" hidden="1" customHeight="1">
      <c r="A22" s="1549"/>
      <c r="B22" s="1549"/>
      <c r="C22" s="1549"/>
      <c r="D22" s="1549"/>
      <c r="E22" s="1549"/>
      <c r="F22" s="1549"/>
      <c r="G22" s="1549"/>
      <c r="H22" s="1549"/>
      <c r="I22" s="1549"/>
      <c r="J22" s="1549"/>
      <c r="K22" s="1549"/>
      <c r="L22" s="1851"/>
      <c r="M22" s="1877"/>
      <c r="N22" s="1877"/>
      <c r="O22" s="1228" t="s">
        <v>417</v>
      </c>
      <c r="P22" s="1280"/>
      <c r="Q22" s="1289"/>
      <c r="R22" s="1289"/>
      <c r="S22" s="664"/>
      <c r="T22" s="1284" t="s">
        <v>418</v>
      </c>
      <c r="AA22" s="530" t="s">
        <v>419</v>
      </c>
      <c r="AC22" s="530" t="s">
        <v>420</v>
      </c>
      <c r="AD22" s="1284" t="s">
        <v>418</v>
      </c>
      <c r="AI22" s="530" t="s">
        <v>421</v>
      </c>
      <c r="AK22" s="530" t="s">
        <v>420</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7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49"/>
      <c r="U26" s="2749"/>
      <c r="V26" s="2749"/>
      <c r="W26" s="2749"/>
      <c r="X26" s="2749"/>
      <c r="Y26" s="2749"/>
      <c r="Z26" s="2749"/>
      <c r="AA26" s="2749"/>
      <c r="AB26" s="2749"/>
      <c r="AC26" s="2749"/>
      <c r="AD26" s="2749"/>
      <c r="AE26" s="2749"/>
      <c r="AF26" s="2749"/>
      <c r="AG26" s="2749"/>
      <c r="AH26" s="2749"/>
      <c r="AI26" s="2749"/>
      <c r="AJ26" s="2749"/>
      <c r="AK26" s="1161"/>
      <c r="AS26" s="1549">
        <v>14</v>
      </c>
    </row>
    <row r="27" spans="1:45" ht="14.65" customHeight="1">
      <c r="Q27" s="311"/>
      <c r="R27" s="311"/>
      <c r="S27" s="2696" t="str">
        <f>IF(org=0,"Не определено",org)</f>
        <v>ООО "Ноябрьская ПГЭ"</v>
      </c>
      <c r="T27" s="2696"/>
      <c r="U27" s="2696"/>
      <c r="V27" s="2696"/>
      <c r="W27" s="2696"/>
      <c r="X27" s="2696"/>
      <c r="Y27" s="2696"/>
      <c r="Z27" s="2696"/>
      <c r="AA27" s="2696"/>
      <c r="AB27" s="2696"/>
      <c r="AC27" s="2696"/>
      <c r="AD27" s="2696"/>
      <c r="AE27" s="2696"/>
      <c r="AF27" s="2696"/>
      <c r="AG27" s="2696"/>
      <c r="AH27" s="2696"/>
      <c r="AI27" s="2696"/>
      <c r="AJ27" s="2696"/>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529" customFormat="1" ht="25.5" hidden="1" customHeight="1">
      <c r="A29" s="1166"/>
      <c r="B29" s="1166"/>
      <c r="C29" s="1166"/>
      <c r="D29" s="1166"/>
      <c r="E29" s="1166"/>
      <c r="F29" s="1166"/>
      <c r="G29" s="1166"/>
      <c r="H29" s="1166"/>
      <c r="I29" s="1166"/>
      <c r="J29" s="1166"/>
      <c r="K29" s="1166"/>
      <c r="L29" s="1298"/>
      <c r="M29" s="1166"/>
      <c r="N29" s="1166"/>
      <c r="O29" s="1166"/>
      <c r="S29" s="2772" t="s">
        <v>42</v>
      </c>
      <c r="T29" s="2772"/>
      <c r="U29" s="1290"/>
      <c r="V29" s="2754" t="str">
        <f>IF(TITLE_NAME_OR_PR_CHANGE="",IF(TITLE_NAME_OR_PR="","",TITLE_NAME_OR_PR),TITLE_NAME_OR_PR_CHANGE)</f>
        <v/>
      </c>
      <c r="W29" s="2754"/>
      <c r="X29" s="2754"/>
      <c r="Y29" s="2754"/>
      <c r="Z29" s="2754"/>
      <c r="AA29" s="2754"/>
      <c r="AB29" s="2754"/>
      <c r="AC29" s="1553"/>
      <c r="AD29" s="2754" t="str">
        <f>IF(TITLE_NAME_OR_PR_CHANGE="",IF(TITLE_NAME_OR_PR="","",TITLE_NAME_OR_PR),TITLE_NAME_OR_PR_CHANGE)</f>
        <v/>
      </c>
      <c r="AE29" s="2754"/>
      <c r="AF29" s="2754"/>
      <c r="AG29" s="2754"/>
      <c r="AH29" s="2754"/>
      <c r="AI29" s="2754"/>
      <c r="AJ29" s="2754"/>
      <c r="AK29" s="1553"/>
      <c r="AL29" s="1553"/>
      <c r="AM29" s="216"/>
      <c r="AN29" s="303"/>
      <c r="AO29" s="303"/>
      <c r="AP29" s="303"/>
      <c r="AQ29" s="303"/>
      <c r="AR29" s="303"/>
      <c r="AS29" s="353">
        <v>0</v>
      </c>
    </row>
    <row r="30" spans="1:45" s="2529" customFormat="1" ht="18.75" hidden="1" customHeight="1">
      <c r="A30" s="1166"/>
      <c r="B30" s="1166"/>
      <c r="C30" s="1166"/>
      <c r="D30" s="1166"/>
      <c r="E30" s="1166"/>
      <c r="F30" s="1166"/>
      <c r="G30" s="1166"/>
      <c r="H30" s="1166"/>
      <c r="I30" s="1166"/>
      <c r="J30" s="1166"/>
      <c r="K30" s="1166"/>
      <c r="L30" s="1298"/>
      <c r="M30" s="1166"/>
      <c r="N30" s="1166"/>
      <c r="O30" s="1166"/>
      <c r="S30" s="2772" t="s">
        <v>422</v>
      </c>
      <c r="T30" s="2772"/>
      <c r="U30" s="1290"/>
      <c r="V30" s="2755">
        <f>IF(TITLE_DATE_PR_CHANGE="",IF(TITLE_DATE_PR="","",TITLE_DATE_PR),TITLE_DATE_PR_CHANGE)</f>
        <v>45583</v>
      </c>
      <c r="W30" s="2755"/>
      <c r="X30" s="2755"/>
      <c r="Y30" s="2755"/>
      <c r="Z30" s="2755"/>
      <c r="AA30" s="2755"/>
      <c r="AB30" s="2755"/>
      <c r="AC30" s="1553"/>
      <c r="AD30" s="2755">
        <f>IF(TITLE_DATE_PR_CHANGE="",IF(TITLE_DATE_PR="","",TITLE_DATE_PR),TITLE_DATE_PR_CHANGE)</f>
        <v>45583</v>
      </c>
      <c r="AE30" s="2755"/>
      <c r="AF30" s="2755"/>
      <c r="AG30" s="2755"/>
      <c r="AH30" s="2755"/>
      <c r="AI30" s="2755"/>
      <c r="AJ30" s="2755"/>
      <c r="AK30" s="1553"/>
      <c r="AL30" s="1553"/>
      <c r="AM30" s="216"/>
      <c r="AN30" s="303"/>
      <c r="AO30" s="303"/>
      <c r="AP30" s="303"/>
      <c r="AQ30" s="303"/>
      <c r="AR30" s="303"/>
      <c r="AS30" s="353">
        <v>0</v>
      </c>
    </row>
    <row r="31" spans="1:45" s="2529" customFormat="1" ht="18.75" hidden="1" customHeight="1">
      <c r="A31" s="1166"/>
      <c r="B31" s="1166"/>
      <c r="C31" s="1166"/>
      <c r="D31" s="1166"/>
      <c r="E31" s="1166"/>
      <c r="F31" s="1166"/>
      <c r="G31" s="1166"/>
      <c r="H31" s="1166"/>
      <c r="I31" s="1166"/>
      <c r="J31" s="1166"/>
      <c r="K31" s="1166"/>
      <c r="L31" s="1298"/>
      <c r="M31" s="1166"/>
      <c r="N31" s="1166"/>
      <c r="O31" s="1166"/>
      <c r="S31" s="2772" t="s">
        <v>423</v>
      </c>
      <c r="T31" s="2772"/>
      <c r="U31" s="1290"/>
      <c r="V31" s="2754" t="str">
        <f>IF(TITLE_NUMBER_PR_CHANGE="",IF(TITLE_NUMBER_PR="","",TITLE_NUMBER_PR),TITLE_NUMBER_PR_CHANGE)</f>
        <v>18-3341</v>
      </c>
      <c r="W31" s="2754"/>
      <c r="X31" s="2754"/>
      <c r="Y31" s="2754"/>
      <c r="Z31" s="2754"/>
      <c r="AA31" s="2754"/>
      <c r="AB31" s="2754"/>
      <c r="AC31" s="1553"/>
      <c r="AD31" s="2754" t="str">
        <f>IF(TITLE_NUMBER_PR_CHANGE="",IF(TITLE_NUMBER_PR="","",TITLE_NUMBER_PR),TITLE_NUMBER_PR_CHANGE)</f>
        <v>18-3341</v>
      </c>
      <c r="AE31" s="2754"/>
      <c r="AF31" s="2754"/>
      <c r="AG31" s="2754"/>
      <c r="AH31" s="2754"/>
      <c r="AI31" s="2754"/>
      <c r="AJ31" s="2754"/>
      <c r="AK31" s="1553"/>
      <c r="AL31" s="1553"/>
      <c r="AM31" s="216"/>
      <c r="AN31" s="303"/>
      <c r="AO31" s="303"/>
      <c r="AP31" s="303"/>
      <c r="AQ31" s="303"/>
      <c r="AR31" s="303"/>
      <c r="AS31" s="353">
        <v>0</v>
      </c>
    </row>
    <row r="32" spans="1:45" s="2529" customFormat="1" ht="18.75" hidden="1" customHeight="1">
      <c r="A32" s="1166"/>
      <c r="B32" s="1166"/>
      <c r="C32" s="1166"/>
      <c r="D32" s="1166"/>
      <c r="E32" s="1166"/>
      <c r="F32" s="1166"/>
      <c r="G32" s="1166"/>
      <c r="H32" s="1166"/>
      <c r="I32" s="1166"/>
      <c r="J32" s="1166"/>
      <c r="K32" s="1166"/>
      <c r="L32" s="1298"/>
      <c r="M32" s="1166"/>
      <c r="N32" s="1166"/>
      <c r="O32" s="1166"/>
      <c r="S32" s="2772" t="s">
        <v>43</v>
      </c>
      <c r="T32" s="2772"/>
      <c r="U32" s="1290"/>
      <c r="V32" s="2754" t="str">
        <f>IF(TITLE_IST_PUB_CHANGE="",IF(TITLE_IST_PUB="","",TITLE_IST_PUB),TITLE_IST_PUB_CHANGE)</f>
        <v/>
      </c>
      <c r="W32" s="2754"/>
      <c r="X32" s="2754"/>
      <c r="Y32" s="2754"/>
      <c r="Z32" s="2754"/>
      <c r="AA32" s="2754"/>
      <c r="AB32" s="2754"/>
      <c r="AC32" s="1553"/>
      <c r="AD32" s="2754" t="str">
        <f>IF(TITLE_IST_PUB_CHANGE="",IF(TITLE_IST_PUB="","",TITLE_IST_PUB),TITLE_IST_PUB_CHANGE)</f>
        <v/>
      </c>
      <c r="AE32" s="2754"/>
      <c r="AF32" s="2754"/>
      <c r="AG32" s="2754"/>
      <c r="AH32" s="2754"/>
      <c r="AI32" s="2754"/>
      <c r="AJ32" s="2754"/>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529" customFormat="1" ht="18.75" hidden="1" customHeight="1">
      <c r="A34" s="1166"/>
      <c r="B34" s="1166"/>
      <c r="C34" s="1166"/>
      <c r="D34" s="1166"/>
      <c r="E34" s="1166"/>
      <c r="F34" s="1166"/>
      <c r="G34" s="1166"/>
      <c r="H34" s="1166"/>
      <c r="I34" s="1166"/>
      <c r="J34" s="1166"/>
      <c r="K34" s="1166"/>
      <c r="L34" s="1298"/>
      <c r="M34" s="1166"/>
      <c r="N34" s="1166"/>
      <c r="O34" s="1166"/>
      <c r="S34" s="2772" t="s">
        <v>424</v>
      </c>
      <c r="T34" s="2772"/>
      <c r="U34" s="1290"/>
      <c r="V34" s="2755">
        <f>IF(TITLE_DATE_PR_CHANGE="",IF(TITLE_DATE_PR="","",TITLE_DATE_PR),TITLE_DATE_PR_CHANGE)</f>
        <v>45583</v>
      </c>
      <c r="W34" s="2755"/>
      <c r="X34" s="2755"/>
      <c r="Y34" s="2755"/>
      <c r="Z34" s="2755"/>
      <c r="AA34" s="2755"/>
      <c r="AB34" s="2755"/>
      <c r="AC34" s="1553"/>
      <c r="AD34" s="2755">
        <f>IF(TITLE_DATE_PR_CHANGE="",IF(TITLE_DATE_PR="","",TITLE_DATE_PR),TITLE_DATE_PR_CHANGE)</f>
        <v>45583</v>
      </c>
      <c r="AE34" s="2755"/>
      <c r="AF34" s="2755"/>
      <c r="AG34" s="2755"/>
      <c r="AH34" s="2755"/>
      <c r="AI34" s="2755"/>
      <c r="AJ34" s="2755"/>
      <c r="AK34" s="1553"/>
      <c r="AL34" s="1553"/>
      <c r="AM34" s="216"/>
      <c r="AN34" s="303"/>
      <c r="AO34" s="303"/>
      <c r="AP34" s="303"/>
      <c r="AQ34" s="303"/>
      <c r="AR34" s="303"/>
      <c r="AS34" s="353">
        <v>0</v>
      </c>
    </row>
    <row r="35" spans="1:45" s="2529" customFormat="1" ht="18.75" hidden="1" customHeight="1">
      <c r="A35" s="1166"/>
      <c r="B35" s="1166"/>
      <c r="C35" s="1166"/>
      <c r="D35" s="1166"/>
      <c r="E35" s="1166"/>
      <c r="F35" s="1166"/>
      <c r="G35" s="1166"/>
      <c r="H35" s="1166"/>
      <c r="I35" s="1166"/>
      <c r="J35" s="1166"/>
      <c r="K35" s="1166"/>
      <c r="L35" s="1298"/>
      <c r="M35" s="1166"/>
      <c r="N35" s="1166"/>
      <c r="O35" s="1166"/>
      <c r="S35" s="2772" t="s">
        <v>425</v>
      </c>
      <c r="T35" s="2772"/>
      <c r="U35" s="1290"/>
      <c r="V35" s="2754" t="str">
        <f>IF(TITLE_NUMBER_PR_CHANGE="",IF(TITLE_NUMBER_PR="","",TITLE_NUMBER_PR),TITLE_NUMBER_PR_CHANGE)</f>
        <v>18-3341</v>
      </c>
      <c r="W35" s="2754"/>
      <c r="X35" s="2754"/>
      <c r="Y35" s="2754"/>
      <c r="Z35" s="2754"/>
      <c r="AA35" s="2754"/>
      <c r="AB35" s="2754"/>
      <c r="AC35" s="1553"/>
      <c r="AD35" s="2754" t="str">
        <f>IF(TITLE_NUMBER_PR_CHANGE="",IF(TITLE_NUMBER_PR="","",TITLE_NUMBER_PR),TITLE_NUMBER_PR_CHANGE)</f>
        <v>18-3341</v>
      </c>
      <c r="AE35" s="2754"/>
      <c r="AF35" s="2754"/>
      <c r="AG35" s="2754"/>
      <c r="AH35" s="2754"/>
      <c r="AI35" s="2754"/>
      <c r="AJ35" s="2754"/>
      <c r="AK35" s="1553"/>
      <c r="AL35" s="1553"/>
      <c r="AM35" s="216"/>
      <c r="AN35" s="303"/>
      <c r="AO35" s="303"/>
      <c r="AP35" s="303"/>
      <c r="AQ35" s="303"/>
      <c r="AR35" s="303"/>
      <c r="AS35" s="353">
        <v>0</v>
      </c>
    </row>
    <row r="36" spans="1:45" s="2529"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426</v>
      </c>
      <c r="AD36" s="1553"/>
      <c r="AE36" s="1553"/>
      <c r="AF36" s="1553"/>
      <c r="AG36" s="1553"/>
      <c r="AH36" s="1553"/>
      <c r="AI36" s="1553"/>
      <c r="AJ36" s="1553"/>
      <c r="AK36" s="1560" t="s">
        <v>426</v>
      </c>
      <c r="AN36" s="303"/>
      <c r="AO36" s="303"/>
      <c r="AP36" s="303"/>
      <c r="AQ36" s="303"/>
      <c r="AR36" s="303"/>
      <c r="AS36" s="353">
        <v>0</v>
      </c>
    </row>
    <row r="37" spans="1:45" ht="14.65" customHeight="1">
      <c r="Q37" s="311"/>
      <c r="R37" s="311"/>
      <c r="S37" s="1193"/>
      <c r="T37" s="392"/>
      <c r="U37" s="1162"/>
      <c r="V37" s="2756"/>
      <c r="W37" s="2756"/>
      <c r="X37" s="2756"/>
      <c r="Y37" s="2756"/>
      <c r="Z37" s="2756"/>
      <c r="AA37" s="2756"/>
      <c r="AB37" s="2756"/>
      <c r="AC37" s="2756"/>
      <c r="AD37" s="2756"/>
      <c r="AE37" s="2756"/>
      <c r="AF37" s="2756"/>
      <c r="AG37" s="2756"/>
      <c r="AH37" s="2756"/>
      <c r="AI37" s="2756"/>
      <c r="AJ37" s="2756"/>
      <c r="AK37" s="2756"/>
      <c r="AS37" s="1549">
        <v>14</v>
      </c>
    </row>
    <row r="38" spans="1:45" ht="14.65" customHeight="1">
      <c r="Q38" s="311"/>
      <c r="R38" s="311"/>
      <c r="S38" s="2638" t="s">
        <v>302</v>
      </c>
      <c r="T38" s="2638"/>
      <c r="U38" s="2638"/>
      <c r="V38" s="2638"/>
      <c r="W38" s="2638"/>
      <c r="X38" s="2638"/>
      <c r="Y38" s="2638"/>
      <c r="Z38" s="2638"/>
      <c r="AA38" s="2638"/>
      <c r="AB38" s="2638"/>
      <c r="AC38" s="2638"/>
      <c r="AD38" s="2638"/>
      <c r="AE38" s="2638"/>
      <c r="AF38" s="2638"/>
      <c r="AG38" s="2638"/>
      <c r="AH38" s="2638"/>
      <c r="AI38" s="2638"/>
      <c r="AJ38" s="2638"/>
      <c r="AK38" s="2638"/>
      <c r="AL38" s="2638"/>
      <c r="AM38" s="2638" t="s">
        <v>303</v>
      </c>
      <c r="AS38" s="1549">
        <v>14</v>
      </c>
    </row>
    <row r="39" spans="1:45" ht="14.65" customHeight="1">
      <c r="Q39" s="311"/>
      <c r="R39" s="311"/>
      <c r="S39" s="2782" t="s">
        <v>87</v>
      </c>
      <c r="T39" s="2724" t="s">
        <v>428</v>
      </c>
      <c r="U39" s="273"/>
      <c r="V39" s="2757" t="s">
        <v>429</v>
      </c>
      <c r="W39" s="2758"/>
      <c r="X39" s="2758"/>
      <c r="Y39" s="2758"/>
      <c r="Z39" s="2758"/>
      <c r="AA39" s="2758"/>
      <c r="AB39" s="2759"/>
      <c r="AC39" s="2760" t="s">
        <v>430</v>
      </c>
      <c r="AD39" s="2757" t="s">
        <v>429</v>
      </c>
      <c r="AE39" s="2758"/>
      <c r="AF39" s="2758"/>
      <c r="AG39" s="2758"/>
      <c r="AH39" s="2758"/>
      <c r="AI39" s="2758"/>
      <c r="AJ39" s="2759"/>
      <c r="AK39" s="2760" t="s">
        <v>431</v>
      </c>
      <c r="AL39" s="2783" t="s">
        <v>432</v>
      </c>
      <c r="AM39" s="2638"/>
      <c r="AS39" s="1549">
        <v>14</v>
      </c>
    </row>
    <row r="40" spans="1:45" ht="35.65" customHeight="1">
      <c r="Q40" s="311"/>
      <c r="R40" s="311"/>
      <c r="S40" s="2782"/>
      <c r="T40" s="2724"/>
      <c r="U40" s="953"/>
      <c r="V40" s="2695" t="s">
        <v>433</v>
      </c>
      <c r="W40" s="2763" t="s">
        <v>434</v>
      </c>
      <c r="X40" s="2610" t="s">
        <v>435</v>
      </c>
      <c r="Y40" s="2609"/>
      <c r="Z40" s="2610" t="s">
        <v>451</v>
      </c>
      <c r="AA40" s="2615"/>
      <c r="AB40" s="2609"/>
      <c r="AC40" s="2761"/>
      <c r="AD40" s="2695" t="s">
        <v>433</v>
      </c>
      <c r="AE40" s="2763" t="s">
        <v>434</v>
      </c>
      <c r="AF40" s="2610" t="s">
        <v>435</v>
      </c>
      <c r="AG40" s="2609"/>
      <c r="AH40" s="2610" t="s">
        <v>436</v>
      </c>
      <c r="AI40" s="2615"/>
      <c r="AJ40" s="2609"/>
      <c r="AK40" s="2761"/>
      <c r="AL40" s="2784"/>
      <c r="AM40" s="2638"/>
      <c r="AS40" s="1549">
        <v>34</v>
      </c>
    </row>
    <row r="41" spans="1:45" ht="35.65" customHeight="1">
      <c r="A41" s="1184"/>
      <c r="B41" s="1184" t="s">
        <v>134</v>
      </c>
      <c r="C41" s="1184" t="s">
        <v>135</v>
      </c>
      <c r="D41" s="1184" t="s">
        <v>136</v>
      </c>
      <c r="E41" s="1228" t="s">
        <v>437</v>
      </c>
      <c r="F41" s="1228" t="s">
        <v>438</v>
      </c>
      <c r="G41" s="1228" t="s">
        <v>439</v>
      </c>
      <c r="H41" s="1228" t="s">
        <v>440</v>
      </c>
      <c r="I41" s="1228" t="s">
        <v>441</v>
      </c>
      <c r="J41" s="1228" t="s">
        <v>442</v>
      </c>
      <c r="K41" s="1228" t="s">
        <v>443</v>
      </c>
      <c r="L41" s="1228" t="s">
        <v>417</v>
      </c>
      <c r="Q41" s="311"/>
      <c r="R41" s="311"/>
      <c r="S41" s="2782"/>
      <c r="T41" s="2724"/>
      <c r="U41" s="238"/>
      <c r="V41" s="2744"/>
      <c r="W41" s="2764"/>
      <c r="X41" s="1850" t="s">
        <v>444</v>
      </c>
      <c r="Y41" s="1850" t="s">
        <v>445</v>
      </c>
      <c r="Z41" s="1850" t="s">
        <v>446</v>
      </c>
      <c r="AA41" s="2733" t="s">
        <v>447</v>
      </c>
      <c r="AB41" s="2735"/>
      <c r="AC41" s="2762"/>
      <c r="AD41" s="2744"/>
      <c r="AE41" s="2764"/>
      <c r="AF41" s="1850" t="s">
        <v>444</v>
      </c>
      <c r="AG41" s="1850" t="s">
        <v>445</v>
      </c>
      <c r="AH41" s="1850" t="s">
        <v>446</v>
      </c>
      <c r="AI41" s="2733" t="s">
        <v>447</v>
      </c>
      <c r="AJ41" s="2735"/>
      <c r="AK41" s="2762"/>
      <c r="AL41" s="2785"/>
      <c r="AM41" s="2638"/>
      <c r="AS41" s="1549">
        <v>34</v>
      </c>
    </row>
    <row r="42" spans="1:45" s="2544"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108</v>
      </c>
      <c r="T42" s="1173" t="s">
        <v>109</v>
      </c>
      <c r="U42" s="1163" t="str">
        <f ca="1">OFFSET(U42,0,-1)</f>
        <v>2</v>
      </c>
      <c r="V42" s="1868">
        <f ca="1">OFFSET(V42,0,-1)+1</f>
        <v>3</v>
      </c>
      <c r="W42" s="1868"/>
      <c r="X42" s="1868">
        <f ca="1">OFFSET(X42,0,-1)+1</f>
        <v>1</v>
      </c>
      <c r="Y42" s="1868">
        <f ca="1">OFFSET(Y42,0,-1)+1</f>
        <v>2</v>
      </c>
      <c r="Z42" s="1868">
        <f ca="1">OFFSET(Z42,0,-1)+1</f>
        <v>3</v>
      </c>
      <c r="AA42" s="2765">
        <f ca="1">OFFSET(AA42,0,-1)+1</f>
        <v>4</v>
      </c>
      <c r="AB42" s="2765"/>
      <c r="AC42" s="1868">
        <f ca="1">OFFSET(AC42,0,-2)+1</f>
        <v>5</v>
      </c>
      <c r="AD42" s="1868">
        <f ca="1">OFFSET(AD42,0,-1)+1</f>
        <v>6</v>
      </c>
      <c r="AE42" s="1868"/>
      <c r="AF42" s="1868">
        <f ca="1">OFFSET(AF42,0,-1)+1</f>
        <v>1</v>
      </c>
      <c r="AG42" s="1868">
        <f ca="1">OFFSET(AG42,0,-1)+1</f>
        <v>2</v>
      </c>
      <c r="AH42" s="1868">
        <f ca="1">OFFSET(AH42,0,-1)+1</f>
        <v>3</v>
      </c>
      <c r="AI42" s="2765">
        <f ca="1">OFFSET(AI42,0,-1)+1</f>
        <v>4</v>
      </c>
      <c r="AJ42" s="2765"/>
      <c r="AK42" s="1868">
        <f ca="1">OFFSET(AK42,0,-2)+1</f>
        <v>5</v>
      </c>
      <c r="AL42" s="1163">
        <f ca="1">OFFSET(AL42,0,-1)</f>
        <v>5</v>
      </c>
      <c r="AM42" s="1868">
        <f ca="1">OFFSET(AM42,0,-1)+1</f>
        <v>6</v>
      </c>
      <c r="AN42" s="1554"/>
      <c r="AO42" s="1554"/>
      <c r="AP42" s="1554"/>
      <c r="AQ42" s="1554"/>
      <c r="AR42" s="1554"/>
      <c r="AS42" s="1559">
        <v>0</v>
      </c>
    </row>
    <row r="43" spans="1:45" ht="21.95" customHeight="1">
      <c r="A43" s="1185" t="s">
        <v>214</v>
      </c>
      <c r="B43" s="1185"/>
      <c r="C43" s="1185"/>
      <c r="D43" s="1185"/>
      <c r="E43" s="2790">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122</v>
      </c>
      <c r="U43" s="236"/>
      <c r="V43" s="2766"/>
      <c r="W43" s="2767"/>
      <c r="X43" s="2767"/>
      <c r="Y43" s="2767"/>
      <c r="Z43" s="2767"/>
      <c r="AA43" s="2767"/>
      <c r="AB43" s="2767"/>
      <c r="AC43" s="2768"/>
      <c r="AD43" s="2766" t="str">
        <f>INDEX(PT_DIFFERENTIATION_NTAR,MATCH(A43,PT_DIFFERENTIATION_NTAR_ID,0))</f>
        <v/>
      </c>
      <c r="AE43" s="2767"/>
      <c r="AF43" s="2767"/>
      <c r="AG43" s="2767"/>
      <c r="AH43" s="2767"/>
      <c r="AI43" s="2767"/>
      <c r="AJ43" s="2767"/>
      <c r="AK43" s="2767"/>
      <c r="AL43" s="276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214</v>
      </c>
      <c r="B44" s="1185" t="s">
        <v>215</v>
      </c>
      <c r="C44" s="1185"/>
      <c r="D44" s="1185"/>
      <c r="E44" s="2791"/>
      <c r="F44" s="2790">
        <v>1</v>
      </c>
      <c r="G44" s="1185"/>
      <c r="H44" s="1185"/>
      <c r="I44" s="1185"/>
      <c r="J44" s="1185"/>
      <c r="K44" s="1185"/>
      <c r="L44" s="1228"/>
      <c r="M44" s="1528"/>
      <c r="N44" s="1528"/>
      <c r="O44" s="1528"/>
      <c r="P44" s="1852"/>
      <c r="Q44" s="287"/>
      <c r="R44" s="288"/>
      <c r="S44" s="1870" t="str">
        <f>INDEX(PT_DIFFERENTIATION_NUM_TER,MATCH(B44,PT_DIFFERENTIATION_TER_ID,0))</f>
        <v>.</v>
      </c>
      <c r="T44" s="1440" t="s">
        <v>399</v>
      </c>
      <c r="U44" s="236"/>
      <c r="V44" s="2766"/>
      <c r="W44" s="2767"/>
      <c r="X44" s="2767"/>
      <c r="Y44" s="2767"/>
      <c r="Z44" s="2767"/>
      <c r="AA44" s="2767"/>
      <c r="AB44" s="2767"/>
      <c r="AC44" s="2768"/>
      <c r="AD44" s="2766" t="str">
        <f>INDEX(PT_DIFFERENTIATION_TER,MATCH(B44,PT_DIFFERENTIATION_TER_ID,0))</f>
        <v/>
      </c>
      <c r="AE44" s="2767"/>
      <c r="AF44" s="2767"/>
      <c r="AG44" s="2767"/>
      <c r="AH44" s="2767"/>
      <c r="AI44" s="2767"/>
      <c r="AJ44" s="2767"/>
      <c r="AK44" s="2767"/>
      <c r="AL44" s="2768"/>
      <c r="AM44" s="1176" t="s">
        <v>400</v>
      </c>
      <c r="AO44" s="1542"/>
      <c r="AP44" s="1542" t="str">
        <f t="shared" si="1"/>
        <v>Территория действия тарифа</v>
      </c>
      <c r="AQ44" s="1542"/>
      <c r="AR44" s="1542"/>
      <c r="AS44" s="1549">
        <v>21</v>
      </c>
    </row>
    <row r="45" spans="1:45" ht="24" customHeight="1">
      <c r="A45" s="1185" t="s">
        <v>214</v>
      </c>
      <c r="B45" s="1185" t="s">
        <v>215</v>
      </c>
      <c r="C45" s="1185" t="s">
        <v>216</v>
      </c>
      <c r="D45" s="1185"/>
      <c r="E45" s="2791"/>
      <c r="F45" s="2791"/>
      <c r="G45" s="2790">
        <v>1</v>
      </c>
      <c r="H45" s="1185"/>
      <c r="I45" s="1185"/>
      <c r="J45" s="1185"/>
      <c r="K45" s="1185"/>
      <c r="L45" s="1228"/>
      <c r="M45" s="1528"/>
      <c r="N45" s="1528"/>
      <c r="O45" s="1528"/>
      <c r="P45" s="289"/>
      <c r="Q45" s="287"/>
      <c r="R45" s="288"/>
      <c r="S45" s="1870" t="str">
        <f>INDEX(PT_DIFFERENTIATION_NUM_CS,MATCH(C45,PT_DIFFERENTIATION_CS_ID,0))</f>
        <v>..</v>
      </c>
      <c r="T45" s="245" t="s">
        <v>401</v>
      </c>
      <c r="U45" s="236"/>
      <c r="V45" s="2766"/>
      <c r="W45" s="2767"/>
      <c r="X45" s="2767"/>
      <c r="Y45" s="2767"/>
      <c r="Z45" s="2767"/>
      <c r="AA45" s="2767"/>
      <c r="AB45" s="2767"/>
      <c r="AC45" s="2768"/>
      <c r="AD45" s="2766" t="str">
        <f>INDEX(PT_DIFFERENTIATION_CS,MATCH(C45,PT_DIFFERENTIATION_CS_ID,0))</f>
        <v/>
      </c>
      <c r="AE45" s="2767"/>
      <c r="AF45" s="2767"/>
      <c r="AG45" s="2767"/>
      <c r="AH45" s="2767"/>
      <c r="AI45" s="2767"/>
      <c r="AJ45" s="2767"/>
      <c r="AK45" s="2767"/>
      <c r="AL45" s="2768"/>
      <c r="AM45" s="1176" t="s">
        <v>402</v>
      </c>
      <c r="AO45" s="1542"/>
      <c r="AP45" s="1542" t="str">
        <f t="shared" si="1"/>
        <v xml:space="preserve">Наименование системы теплоснабжения </v>
      </c>
      <c r="AQ45" s="1542"/>
      <c r="AR45" s="1542"/>
      <c r="AS45" s="1549">
        <v>23</v>
      </c>
    </row>
    <row r="46" spans="1:45" ht="21.95" customHeight="1">
      <c r="A46" s="1185" t="s">
        <v>214</v>
      </c>
      <c r="B46" s="1185" t="s">
        <v>215</v>
      </c>
      <c r="C46" s="1185" t="s">
        <v>216</v>
      </c>
      <c r="D46" s="1185" t="s">
        <v>217</v>
      </c>
      <c r="E46" s="2791"/>
      <c r="F46" s="2791"/>
      <c r="G46" s="2791"/>
      <c r="H46" s="2790">
        <v>1</v>
      </c>
      <c r="I46" s="1185"/>
      <c r="J46" s="1185"/>
      <c r="K46" s="1185"/>
      <c r="L46" s="1228"/>
      <c r="M46" s="1528"/>
      <c r="N46" s="1528"/>
      <c r="O46" s="1528"/>
      <c r="P46" s="289"/>
      <c r="Q46" s="287"/>
      <c r="R46" s="288"/>
      <c r="S46" s="1870" t="str">
        <f>INDEX(PT_DIFFERENTIATION_NUM_IST_TE,MATCH(D46,PT_DIFFERENTIATION_IST_TE_ID,0))</f>
        <v>...</v>
      </c>
      <c r="T46" s="246" t="s">
        <v>403</v>
      </c>
      <c r="U46" s="236"/>
      <c r="V46" s="2766"/>
      <c r="W46" s="2767"/>
      <c r="X46" s="2767"/>
      <c r="Y46" s="2767"/>
      <c r="Z46" s="2767"/>
      <c r="AA46" s="2767"/>
      <c r="AB46" s="2767"/>
      <c r="AC46" s="2768"/>
      <c r="AD46" s="2766" t="str">
        <f>INDEX(PT_DIFFERENTIATION_IST_TE,MATCH(D46,PT_DIFFERENTIATION_IST_TE_ID,0))</f>
        <v/>
      </c>
      <c r="AE46" s="2767"/>
      <c r="AF46" s="2767"/>
      <c r="AG46" s="2767"/>
      <c r="AH46" s="2767"/>
      <c r="AI46" s="2767"/>
      <c r="AJ46" s="2767"/>
      <c r="AK46" s="2767"/>
      <c r="AL46" s="2768"/>
      <c r="AM46" s="1176" t="s">
        <v>404</v>
      </c>
      <c r="AO46" s="1542"/>
      <c r="AP46" s="1542" t="str">
        <f t="shared" si="1"/>
        <v xml:space="preserve">Источник тепловой энергии  </v>
      </c>
      <c r="AQ46" s="1542"/>
      <c r="AR46" s="1542"/>
      <c r="AS46" s="1549">
        <v>21</v>
      </c>
    </row>
    <row r="47" spans="1:45" ht="49.5" customHeight="1">
      <c r="A47" s="1185" t="s">
        <v>214</v>
      </c>
      <c r="B47" s="1185" t="s">
        <v>215</v>
      </c>
      <c r="C47" s="1185" t="s">
        <v>216</v>
      </c>
      <c r="D47" s="1185" t="s">
        <v>217</v>
      </c>
      <c r="E47" s="2791"/>
      <c r="F47" s="2791"/>
      <c r="G47" s="2791"/>
      <c r="H47" s="2791"/>
      <c r="I47" s="2638" t="str">
        <f>S46&amp;".1"</f>
        <v>....1</v>
      </c>
      <c r="J47" s="1185"/>
      <c r="K47" s="1185"/>
      <c r="L47" s="1228" t="s">
        <v>405</v>
      </c>
      <c r="P47" s="2777">
        <v>1</v>
      </c>
      <c r="Q47" s="1866"/>
      <c r="R47" s="291"/>
      <c r="S47" s="1870" t="str">
        <f>$I47</f>
        <v>....1</v>
      </c>
      <c r="T47" s="221" t="s">
        <v>406</v>
      </c>
      <c r="U47" s="236"/>
      <c r="V47" s="2769"/>
      <c r="W47" s="2770"/>
      <c r="X47" s="2770"/>
      <c r="Y47" s="2770"/>
      <c r="Z47" s="2770"/>
      <c r="AA47" s="2770"/>
      <c r="AB47" s="2770"/>
      <c r="AC47" s="2771"/>
      <c r="AD47" s="2769"/>
      <c r="AE47" s="2770"/>
      <c r="AF47" s="2770"/>
      <c r="AG47" s="2770"/>
      <c r="AH47" s="2770"/>
      <c r="AI47" s="2770"/>
      <c r="AJ47" s="2770"/>
      <c r="AK47" s="2770"/>
      <c r="AL47" s="2771"/>
      <c r="AM47" s="1176" t="s">
        <v>407</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214</v>
      </c>
      <c r="B48" s="1185" t="s">
        <v>215</v>
      </c>
      <c r="C48" s="1185" t="s">
        <v>216</v>
      </c>
      <c r="D48" s="1185" t="s">
        <v>217</v>
      </c>
      <c r="E48" s="2791"/>
      <c r="F48" s="2791"/>
      <c r="G48" s="2791"/>
      <c r="H48" s="2791"/>
      <c r="I48" s="2610"/>
      <c r="J48" s="2638" t="str">
        <f>I47&amp;".1"</f>
        <v>....1.1</v>
      </c>
      <c r="K48" s="1185"/>
      <c r="L48" s="1228" t="s">
        <v>408</v>
      </c>
      <c r="P48" s="2777"/>
      <c r="Q48" s="2777">
        <v>1</v>
      </c>
      <c r="R48" s="292"/>
      <c r="S48" s="1870" t="str">
        <f>$J48</f>
        <v>....1.1</v>
      </c>
      <c r="T48" s="222" t="s">
        <v>409</v>
      </c>
      <c r="U48" s="236"/>
      <c r="V48" s="2769"/>
      <c r="W48" s="2770"/>
      <c r="X48" s="2770"/>
      <c r="Y48" s="2770"/>
      <c r="Z48" s="2770"/>
      <c r="AA48" s="2770"/>
      <c r="AB48" s="2770"/>
      <c r="AC48" s="2771"/>
      <c r="AD48" s="2769"/>
      <c r="AE48" s="2770"/>
      <c r="AF48" s="2770"/>
      <c r="AG48" s="2770"/>
      <c r="AH48" s="2770"/>
      <c r="AI48" s="2770"/>
      <c r="AJ48" s="2770"/>
      <c r="AK48" s="2770"/>
      <c r="AL48" s="2771"/>
      <c r="AM48" s="1176" t="s">
        <v>410</v>
      </c>
      <c r="AO48" s="1542"/>
      <c r="AP48" s="1542" t="str">
        <f t="shared" si="1"/>
        <v>Группа потребителей</v>
      </c>
      <c r="AQ48" s="1542"/>
      <c r="AR48" s="1542"/>
      <c r="AS48" s="1549">
        <v>21</v>
      </c>
    </row>
    <row r="49" spans="1:45" ht="21.95" customHeight="1">
      <c r="A49" s="1185" t="s">
        <v>214</v>
      </c>
      <c r="B49" s="1185" t="s">
        <v>215</v>
      </c>
      <c r="C49" s="1185" t="s">
        <v>216</v>
      </c>
      <c r="D49" s="1185" t="s">
        <v>217</v>
      </c>
      <c r="E49" s="2791"/>
      <c r="F49" s="2791"/>
      <c r="G49" s="2791"/>
      <c r="H49" s="2791"/>
      <c r="I49" s="2610"/>
      <c r="J49" s="2610"/>
      <c r="K49" s="2638" t="str">
        <f>J48&amp;".1"</f>
        <v>....1.1.1</v>
      </c>
      <c r="L49" s="1228" t="s">
        <v>411</v>
      </c>
      <c r="P49" s="2777"/>
      <c r="Q49" s="2777"/>
      <c r="R49" s="292">
        <v>1</v>
      </c>
      <c r="S49" s="1870" t="str">
        <f>$K49</f>
        <v>....1.1.1</v>
      </c>
      <c r="T49" s="1265"/>
      <c r="U49" s="236"/>
      <c r="V49" s="686"/>
      <c r="W49" s="261"/>
      <c r="X49" s="686"/>
      <c r="Y49" s="1175"/>
      <c r="Z49" s="2753"/>
      <c r="AA49" s="2619" t="s">
        <v>66</v>
      </c>
      <c r="AB49" s="2753"/>
      <c r="AC49" s="2619" t="s">
        <v>66</v>
      </c>
      <c r="AD49" s="686"/>
      <c r="AE49" s="261"/>
      <c r="AF49" s="686"/>
      <c r="AG49" s="1175"/>
      <c r="AH49" s="2753"/>
      <c r="AI49" s="2619" t="s">
        <v>66</v>
      </c>
      <c r="AJ49" s="2788"/>
      <c r="AK49" s="2619" t="s">
        <v>66</v>
      </c>
      <c r="AL49" s="1266"/>
      <c r="AM49" s="2773" t="s">
        <v>412</v>
      </c>
      <c r="AN49" s="1554" t="e">
        <f ca="1">STRCHECKDATE(V50:AL50)</f>
        <v>#NAME?</v>
      </c>
      <c r="AO49" s="1542"/>
      <c r="AP49" s="1542" t="str">
        <f t="shared" si="1"/>
        <v/>
      </c>
      <c r="AQ49" s="1542"/>
      <c r="AR49" s="1542"/>
      <c r="AS49" s="1549">
        <v>21</v>
      </c>
    </row>
    <row r="50" spans="1:45" ht="1.1499999999999999" customHeight="1">
      <c r="A50" s="1185" t="s">
        <v>214</v>
      </c>
      <c r="B50" s="1185" t="s">
        <v>215</v>
      </c>
      <c r="C50" s="1185" t="s">
        <v>216</v>
      </c>
      <c r="D50" s="1185" t="s">
        <v>217</v>
      </c>
      <c r="E50" s="2791"/>
      <c r="F50" s="2791"/>
      <c r="G50" s="2791"/>
      <c r="H50" s="2791"/>
      <c r="I50" s="2610"/>
      <c r="J50" s="2610"/>
      <c r="K50" s="2638"/>
      <c r="L50" s="1228"/>
      <c r="P50" s="2777"/>
      <c r="Q50" s="2777"/>
      <c r="R50" s="292"/>
      <c r="S50" s="1879"/>
      <c r="T50" s="236"/>
      <c r="U50" s="236"/>
      <c r="V50" s="261"/>
      <c r="W50" s="261"/>
      <c r="X50" s="261"/>
      <c r="Y50" s="264" t="str">
        <f>Z49&amp;"-"&amp;AB49</f>
        <v>-</v>
      </c>
      <c r="Z50" s="2752"/>
      <c r="AA50" s="2619"/>
      <c r="AB50" s="2752"/>
      <c r="AC50" s="2619"/>
      <c r="AD50" s="261"/>
      <c r="AE50" s="261"/>
      <c r="AF50" s="261"/>
      <c r="AG50" s="264" t="str">
        <f>AH49&amp;"-"&amp;AJ49</f>
        <v>-</v>
      </c>
      <c r="AH50" s="2752"/>
      <c r="AI50" s="2619"/>
      <c r="AJ50" s="2789"/>
      <c r="AK50" s="2619"/>
      <c r="AL50" s="1267"/>
      <c r="AM50" s="2774"/>
      <c r="AO50" s="1542"/>
      <c r="AP50" s="1542" t="str">
        <f t="shared" si="1"/>
        <v/>
      </c>
      <c r="AQ50" s="1542"/>
      <c r="AR50" s="1542"/>
      <c r="AS50" s="1549">
        <v>1</v>
      </c>
    </row>
    <row r="51" spans="1:45" ht="11.45" customHeight="1">
      <c r="A51" s="1185" t="s">
        <v>214</v>
      </c>
      <c r="B51" s="1185" t="s">
        <v>215</v>
      </c>
      <c r="C51" s="1185" t="s">
        <v>216</v>
      </c>
      <c r="D51" s="1185" t="s">
        <v>217</v>
      </c>
      <c r="E51" s="2791"/>
      <c r="F51" s="2791"/>
      <c r="G51" s="2791"/>
      <c r="H51" s="2791"/>
      <c r="I51" s="2610"/>
      <c r="J51" s="2638"/>
      <c r="K51" s="1185"/>
      <c r="L51" s="1228"/>
      <c r="P51" s="2777"/>
      <c r="Q51" s="2777"/>
      <c r="R51" s="291"/>
      <c r="S51" s="1196"/>
      <c r="T51" s="224" t="s">
        <v>413</v>
      </c>
      <c r="U51" s="535"/>
      <c r="V51" s="535"/>
      <c r="W51" s="535"/>
      <c r="X51" s="535"/>
      <c r="Y51" s="535"/>
      <c r="Z51" s="535"/>
      <c r="AA51" s="535"/>
      <c r="AB51" s="535"/>
      <c r="AC51" s="535"/>
      <c r="AD51" s="535"/>
      <c r="AE51" s="535"/>
      <c r="AF51" s="535"/>
      <c r="AG51" s="535"/>
      <c r="AH51" s="535"/>
      <c r="AI51" s="535"/>
      <c r="AJ51" s="535"/>
      <c r="AK51" s="535"/>
      <c r="AL51" s="260"/>
      <c r="AM51" s="2775"/>
      <c r="AO51" s="1542"/>
      <c r="AP51" s="1542" t="str">
        <f t="shared" si="1"/>
        <v>Добавить вид теплоносителя (параметры теплоносителя)</v>
      </c>
      <c r="AQ51" s="1542"/>
      <c r="AR51" s="1542"/>
      <c r="AS51" s="1549">
        <v>11</v>
      </c>
    </row>
    <row r="52" spans="1:45" ht="11.45" customHeight="1">
      <c r="A52" s="1185" t="s">
        <v>214</v>
      </c>
      <c r="B52" s="1185" t="s">
        <v>215</v>
      </c>
      <c r="C52" s="1185" t="s">
        <v>216</v>
      </c>
      <c r="D52" s="1185" t="s">
        <v>217</v>
      </c>
      <c r="E52" s="2791"/>
      <c r="F52" s="2791"/>
      <c r="G52" s="2791"/>
      <c r="H52" s="2791"/>
      <c r="I52" s="2638"/>
      <c r="J52" s="1185"/>
      <c r="K52" s="1185"/>
      <c r="L52" s="1228"/>
      <c r="P52" s="2777"/>
      <c r="Q52" s="1866"/>
      <c r="R52" s="291"/>
      <c r="S52" s="1196"/>
      <c r="T52" s="223" t="s">
        <v>414</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214</v>
      </c>
      <c r="B53" s="1185" t="s">
        <v>215</v>
      </c>
      <c r="C53" s="1185" t="s">
        <v>216</v>
      </c>
      <c r="D53" s="1185" t="s">
        <v>217</v>
      </c>
      <c r="E53" s="2791"/>
      <c r="F53" s="2791"/>
      <c r="G53" s="2791"/>
      <c r="H53" s="2790"/>
      <c r="I53" s="1185"/>
      <c r="J53" s="1185"/>
      <c r="K53" s="1185"/>
      <c r="L53" s="1228"/>
      <c r="M53" s="1528"/>
      <c r="N53" s="1528"/>
      <c r="O53" s="1553"/>
      <c r="P53" s="295"/>
      <c r="Q53" s="310"/>
      <c r="R53" s="290"/>
      <c r="S53" s="1196"/>
      <c r="T53" s="300" t="s">
        <v>415</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520" customFormat="1" ht="1.1499999999999999" customHeight="1">
      <c r="A54" s="1185" t="s">
        <v>214</v>
      </c>
      <c r="B54" s="1185" t="s">
        <v>215</v>
      </c>
      <c r="C54" s="1185" t="s">
        <v>216</v>
      </c>
      <c r="D54" s="1886"/>
      <c r="E54" s="2791"/>
      <c r="F54" s="2791"/>
      <c r="G54" s="2790"/>
      <c r="H54" s="1886"/>
      <c r="I54" s="1886"/>
      <c r="J54" s="1886"/>
      <c r="K54" s="1886"/>
      <c r="L54" s="1298"/>
      <c r="M54" s="1528"/>
      <c r="N54" s="1528"/>
      <c r="O54" s="1553"/>
      <c r="P54" s="1234"/>
      <c r="Q54" s="1235"/>
      <c r="R54" s="1234"/>
      <c r="S54" s="1240"/>
      <c r="T54" s="1243" t="s">
        <v>160</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520" customFormat="1" ht="1.1499999999999999" customHeight="1">
      <c r="A55" s="1185" t="s">
        <v>214</v>
      </c>
      <c r="B55" s="1185" t="s">
        <v>215</v>
      </c>
      <c r="C55" s="1886"/>
      <c r="D55" s="1886"/>
      <c r="E55" s="2791"/>
      <c r="F55" s="2790"/>
      <c r="G55" s="1886"/>
      <c r="H55" s="1886"/>
      <c r="I55" s="1886"/>
      <c r="J55" s="1886"/>
      <c r="K55" s="1886"/>
      <c r="L55" s="1298"/>
      <c r="M55" s="1887"/>
      <c r="N55" s="1887"/>
      <c r="O55" s="1553"/>
      <c r="P55" s="1234"/>
      <c r="Q55" s="1235"/>
      <c r="R55" s="1234"/>
      <c r="S55" s="1240"/>
      <c r="T55" s="1243" t="s">
        <v>161</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520" customFormat="1" ht="1.1499999999999999" customHeight="1">
      <c r="A56" s="1185" t="s">
        <v>214</v>
      </c>
      <c r="B56" s="1185"/>
      <c r="C56" s="1185"/>
      <c r="D56" s="1185"/>
      <c r="E56" s="2790"/>
      <c r="F56" s="1185"/>
      <c r="G56" s="1185"/>
      <c r="H56" s="1185"/>
      <c r="I56" s="1185"/>
      <c r="J56" s="1185"/>
      <c r="K56" s="1185"/>
      <c r="L56" s="1228"/>
      <c r="M56" s="1887"/>
      <c r="N56" s="1887"/>
      <c r="O56" s="1553"/>
      <c r="P56" s="315"/>
      <c r="Q56" s="1262"/>
      <c r="R56" s="315"/>
      <c r="S56" s="1240"/>
      <c r="T56" s="1243" t="s">
        <v>162</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520" customFormat="1" ht="1.1499999999999999" customHeight="1">
      <c r="A57" s="1886"/>
      <c r="B57" s="1886"/>
      <c r="C57" s="1886"/>
      <c r="D57" s="1886"/>
      <c r="E57" s="1185"/>
      <c r="F57" s="1886"/>
      <c r="G57" s="1886"/>
      <c r="H57" s="1886"/>
      <c r="I57" s="1886"/>
      <c r="J57" s="1886"/>
      <c r="K57" s="1886"/>
      <c r="L57" s="1298"/>
      <c r="M57" s="1887"/>
      <c r="N57" s="1887"/>
      <c r="O57" s="1553"/>
      <c r="P57" s="1234"/>
      <c r="Q57" s="1235"/>
      <c r="R57" s="1234"/>
      <c r="S57" s="1240"/>
      <c r="T57" s="1243" t="s">
        <v>163</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786"/>
      <c r="U59" s="2786"/>
      <c r="V59" s="2786"/>
      <c r="W59" s="2786"/>
      <c r="X59" s="2786"/>
      <c r="Y59" s="2786"/>
      <c r="Z59" s="2786"/>
      <c r="AA59" s="2786"/>
      <c r="AB59" s="2786"/>
      <c r="AC59" s="2786"/>
      <c r="AD59" s="2786"/>
      <c r="AE59" s="2786"/>
      <c r="AF59" s="2786"/>
      <c r="AG59" s="2786"/>
      <c r="AH59" s="2786"/>
      <c r="AI59" s="2786"/>
      <c r="AJ59" s="2786"/>
      <c r="AK59" s="2786"/>
      <c r="AL59" s="2786"/>
      <c r="AM59" s="2786"/>
      <c r="AS59" s="1549">
        <v>27</v>
      </c>
    </row>
    <row r="60" spans="1:45" ht="65.25" customHeight="1">
      <c r="O60" s="1553"/>
      <c r="T60" s="2786"/>
      <c r="U60" s="2786"/>
      <c r="V60" s="2786"/>
      <c r="W60" s="2786"/>
      <c r="X60" s="2786"/>
      <c r="Y60" s="2786"/>
      <c r="Z60" s="2786"/>
      <c r="AA60" s="2786"/>
      <c r="AB60" s="2786"/>
      <c r="AC60" s="2786"/>
      <c r="AD60" s="2786"/>
      <c r="AE60" s="2786"/>
      <c r="AF60" s="2786"/>
      <c r="AG60" s="2786"/>
      <c r="AH60" s="2786"/>
      <c r="AI60" s="2786"/>
      <c r="AJ60" s="2786"/>
      <c r="AK60" s="2786"/>
      <c r="AL60" s="2786"/>
      <c r="AM60" s="2786"/>
      <c r="AS60" s="1549">
        <v>62</v>
      </c>
    </row>
    <row r="61" spans="1:45" ht="14.65" customHeight="1">
      <c r="O61" s="1553"/>
      <c r="AS61" s="1549">
        <v>14</v>
      </c>
    </row>
    <row r="62" spans="1:45" ht="18.75" customHeight="1">
      <c r="O62" s="1553"/>
      <c r="S62" s="1171"/>
      <c r="T62" s="2786"/>
      <c r="U62" s="2786"/>
      <c r="V62" s="2786"/>
      <c r="W62" s="2786"/>
      <c r="X62" s="2786"/>
      <c r="Y62" s="2786"/>
      <c r="Z62" s="2786"/>
      <c r="AA62" s="2786"/>
      <c r="AB62" s="2786"/>
      <c r="AC62" s="2786"/>
      <c r="AD62" s="2786"/>
      <c r="AE62" s="2786"/>
      <c r="AF62" s="2786"/>
      <c r="AG62" s="2786"/>
      <c r="AH62" s="2786"/>
      <c r="AI62" s="2786"/>
      <c r="AJ62" s="2786"/>
      <c r="AK62" s="2786"/>
      <c r="AL62" s="2786"/>
      <c r="AM62" s="2786"/>
      <c r="AS62" s="1549">
        <v>18</v>
      </c>
    </row>
    <row r="63" spans="1:45" ht="18.75" customHeight="1">
      <c r="O63" s="1553"/>
      <c r="T63" s="2786"/>
      <c r="U63" s="2786"/>
      <c r="V63" s="2786"/>
      <c r="W63" s="2786"/>
      <c r="X63" s="2786"/>
      <c r="Y63" s="2786"/>
      <c r="Z63" s="2786"/>
      <c r="AA63" s="2786"/>
      <c r="AB63" s="2786"/>
      <c r="AC63" s="2786"/>
      <c r="AD63" s="2786"/>
      <c r="AE63" s="2786"/>
      <c r="AF63" s="2786"/>
      <c r="AG63" s="2786"/>
      <c r="AH63" s="2786"/>
      <c r="AI63" s="2786"/>
      <c r="AJ63" s="2786"/>
      <c r="AK63" s="2786"/>
      <c r="AL63" s="2786"/>
      <c r="AM63" s="2786"/>
      <c r="AS63" s="1549">
        <v>18</v>
      </c>
    </row>
    <row r="64" spans="1:45" ht="29.25" customHeight="1">
      <c r="O64" s="1553"/>
      <c r="S64" s="1171"/>
      <c r="T64" s="2786"/>
      <c r="U64" s="2786"/>
      <c r="V64" s="2786"/>
      <c r="W64" s="2786"/>
      <c r="X64" s="2786"/>
      <c r="Y64" s="2786"/>
      <c r="Z64" s="2786"/>
      <c r="AA64" s="2786"/>
      <c r="AB64" s="2786"/>
      <c r="AC64" s="2786"/>
      <c r="AD64" s="2786"/>
      <c r="AE64" s="2786"/>
      <c r="AF64" s="2786"/>
      <c r="AG64" s="2786"/>
      <c r="AH64" s="2786"/>
      <c r="AI64" s="2786"/>
      <c r="AJ64" s="2786"/>
      <c r="AK64" s="2786"/>
      <c r="AL64" s="2786"/>
      <c r="AM64" s="2786"/>
      <c r="AS64" s="1549">
        <v>28</v>
      </c>
    </row>
    <row r="65" spans="1:45" ht="22.5" hidden="1" customHeight="1">
      <c r="A65" s="1549" t="s">
        <v>81</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519" hidden="1"/>
    <col min="2" max="2" width="11" style="2519" hidden="1" customWidth="1"/>
    <col min="3" max="3" width="10.5703125" style="2519" hidden="1"/>
    <col min="4" max="4" width="11.85546875" style="2519" hidden="1" customWidth="1"/>
    <col min="5" max="5" width="10" style="2519" hidden="1" customWidth="1"/>
    <col min="6" max="6" width="8.7109375" style="2519" hidden="1" customWidth="1"/>
    <col min="7" max="7" width="7.5703125" style="2519" hidden="1" customWidth="1"/>
    <col min="8" max="8" width="11.42578125" style="2519" hidden="1" customWidth="1"/>
    <col min="9" max="9" width="12" style="2519" hidden="1" customWidth="1"/>
    <col min="10" max="10" width="9.85546875" style="2519" hidden="1" customWidth="1"/>
    <col min="11" max="11" width="11.42578125" style="2519" hidden="1" customWidth="1"/>
    <col min="12" max="12" width="19.140625" style="2545" hidden="1" customWidth="1"/>
    <col min="13" max="14" width="12.28515625" style="2546" hidden="1" customWidth="1"/>
    <col min="15" max="15" width="23.42578125" style="2546" hidden="1" customWidth="1"/>
    <col min="16" max="16" width="3" style="2547" customWidth="1"/>
    <col min="17" max="18" width="3" style="2548" customWidth="1"/>
    <col min="19" max="19" width="12" style="2549" customWidth="1"/>
    <col min="20" max="20" width="31" style="2513" customWidth="1"/>
    <col min="21" max="21" width="0.7109375" style="2513" hidden="1" customWidth="1"/>
    <col min="22" max="22" width="1.7109375" style="2513" hidden="1" customWidth="1"/>
    <col min="23" max="23" width="24.7109375" style="2513" hidden="1" customWidth="1"/>
    <col min="24" max="25" width="0.140625" style="2513" hidden="1" customWidth="1"/>
    <col min="26" max="26" width="11.7109375" style="2513" hidden="1" customWidth="1"/>
    <col min="27" max="27" width="3.7109375" style="2513" hidden="1" customWidth="1"/>
    <col min="28" max="28" width="11.7109375" style="2513" hidden="1" customWidth="1"/>
    <col min="29" max="29" width="8.5703125" style="2513" hidden="1" customWidth="1"/>
    <col min="30" max="30" width="0.140625" style="2513" customWidth="1"/>
    <col min="31" max="31" width="24" style="2513" customWidth="1"/>
    <col min="32" max="33" width="0.140625" style="2513" customWidth="1"/>
    <col min="34" max="34" width="11" style="2513" customWidth="1"/>
    <col min="35" max="35" width="3.7109375" style="2513" customWidth="1"/>
    <col min="36" max="36" width="11" style="2513" customWidth="1"/>
    <col min="37" max="37" width="8.5703125" style="2513" hidden="1" customWidth="1"/>
    <col min="38" max="38" width="4" style="2513" customWidth="1"/>
    <col min="39" max="39" width="115" style="2513" customWidth="1"/>
    <col min="40" max="44" width="10" style="2520" customWidth="1"/>
    <col min="45" max="45" width="10.5703125" style="2513" hidden="1"/>
  </cols>
  <sheetData>
    <row r="1" spans="1:45" ht="22.5" hidden="1" customHeight="1">
      <c r="Y1" s="263"/>
      <c r="Z1" s="263"/>
      <c r="AG1" s="263"/>
      <c r="AH1" s="263"/>
      <c r="AS1" s="1073" t="s">
        <v>14</v>
      </c>
    </row>
    <row r="2" spans="1:45" ht="21" hidden="1" customHeight="1">
      <c r="A2" s="1281"/>
      <c r="B2" s="1281"/>
      <c r="C2" s="1281"/>
      <c r="D2" s="1281"/>
      <c r="E2" s="2778">
        <v>1</v>
      </c>
      <c r="F2" s="1281"/>
      <c r="G2" s="1281"/>
      <c r="H2" s="1281"/>
      <c r="I2" s="1281"/>
      <c r="J2" s="1281"/>
      <c r="K2" s="1281"/>
      <c r="L2" s="1282"/>
      <c r="M2" s="1283"/>
      <c r="N2" s="1283"/>
      <c r="O2" s="1283"/>
      <c r="P2" s="296"/>
      <c r="Q2" s="295"/>
      <c r="R2" s="290"/>
      <c r="S2" s="1254" t="e">
        <f>INDEX(PT_DIFFERENTIATION_NUM_NTAR,MATCH(A2,PT_DIFFERENTIATION_NTAR_ID,0))</f>
        <v>#N/A</v>
      </c>
      <c r="T2" s="234" t="s">
        <v>122</v>
      </c>
      <c r="U2" s="236"/>
      <c r="V2" s="2766"/>
      <c r="W2" s="2767"/>
      <c r="X2" s="2767"/>
      <c r="Y2" s="2767"/>
      <c r="Z2" s="2767"/>
      <c r="AA2" s="2767"/>
      <c r="AB2" s="2767"/>
      <c r="AC2" s="2768"/>
      <c r="AD2" s="2766" t="e">
        <f>INDEX(PT_DIFFERENTIATION_NTAR,MATCH(A2,PT_DIFFERENTIATION_NTAR_ID,0))</f>
        <v>#N/A</v>
      </c>
      <c r="AE2" s="2767"/>
      <c r="AF2" s="2767"/>
      <c r="AG2" s="2767"/>
      <c r="AH2" s="2767"/>
      <c r="AI2" s="2767"/>
      <c r="AJ2" s="2767"/>
      <c r="AK2" s="2767"/>
      <c r="AL2" s="2768"/>
      <c r="AM2" s="1176" t="s">
        <v>398</v>
      </c>
      <c r="AO2" s="435"/>
      <c r="AP2" s="435" t="str">
        <f t="shared" ref="AP2:AP15" si="0">IF(T2="","",T2)</f>
        <v>Наименование тарифа</v>
      </c>
      <c r="AQ2" s="435"/>
      <c r="AR2" s="435"/>
      <c r="AS2" s="1073">
        <v>0</v>
      </c>
    </row>
    <row r="3" spans="1:45" ht="21" hidden="1" customHeight="1">
      <c r="A3" s="1281"/>
      <c r="B3" s="1281"/>
      <c r="C3" s="1281"/>
      <c r="D3" s="1281"/>
      <c r="E3" s="2779"/>
      <c r="F3" s="2778">
        <v>1</v>
      </c>
      <c r="G3" s="1281"/>
      <c r="H3" s="1281"/>
      <c r="I3" s="1281"/>
      <c r="J3" s="1281"/>
      <c r="K3" s="1281"/>
      <c r="L3" s="1282"/>
      <c r="M3" s="1283"/>
      <c r="N3" s="1283"/>
      <c r="O3" s="1283"/>
      <c r="P3" s="1250"/>
      <c r="Q3" s="287"/>
      <c r="R3" s="288"/>
      <c r="S3" s="1254" t="e">
        <f>INDEX(PT_DIFFERENTIATION_NUM_TER,MATCH(B3,PT_DIFFERENTIATION_TER_ID,0))</f>
        <v>#N/A</v>
      </c>
      <c r="T3" s="244" t="s">
        <v>399</v>
      </c>
      <c r="U3" s="236"/>
      <c r="V3" s="2766"/>
      <c r="W3" s="2767"/>
      <c r="X3" s="2767"/>
      <c r="Y3" s="2767"/>
      <c r="Z3" s="2767"/>
      <c r="AA3" s="2767"/>
      <c r="AB3" s="2767"/>
      <c r="AC3" s="2768"/>
      <c r="AD3" s="2766" t="e">
        <f>INDEX(PT_DIFFERENTIATION_TER,MATCH(B3,PT_DIFFERENTIATION_TER_ID,0))</f>
        <v>#N/A</v>
      </c>
      <c r="AE3" s="2767"/>
      <c r="AF3" s="2767"/>
      <c r="AG3" s="2767"/>
      <c r="AH3" s="2767"/>
      <c r="AI3" s="2767"/>
      <c r="AJ3" s="2767"/>
      <c r="AK3" s="2767"/>
      <c r="AL3" s="2768"/>
      <c r="AM3" s="1176" t="s">
        <v>400</v>
      </c>
      <c r="AO3" s="435"/>
      <c r="AP3" s="435" t="str">
        <f t="shared" si="0"/>
        <v>Территория действия тарифа</v>
      </c>
      <c r="AQ3" s="435"/>
      <c r="AR3" s="435"/>
      <c r="AS3" s="1073">
        <v>0</v>
      </c>
    </row>
    <row r="4" spans="1:45" ht="23.25" hidden="1" customHeight="1">
      <c r="A4" s="1281"/>
      <c r="B4" s="1281"/>
      <c r="C4" s="1281"/>
      <c r="D4" s="1281"/>
      <c r="E4" s="2779"/>
      <c r="F4" s="2779"/>
      <c r="G4" s="2778">
        <v>1</v>
      </c>
      <c r="H4" s="1281"/>
      <c r="I4" s="1281"/>
      <c r="J4" s="1281"/>
      <c r="K4" s="1281"/>
      <c r="L4" s="1282"/>
      <c r="M4" s="1283"/>
      <c r="N4" s="1283"/>
      <c r="O4" s="1283"/>
      <c r="P4" s="289"/>
      <c r="Q4" s="287"/>
      <c r="R4" s="288"/>
      <c r="S4" s="1254" t="e">
        <f>INDEX(PT_DIFFERENTIATION_NUM_CS,MATCH(C4,PT_DIFFERENTIATION_CS_ID,0))</f>
        <v>#N/A</v>
      </c>
      <c r="T4" s="245" t="s">
        <v>401</v>
      </c>
      <c r="U4" s="236"/>
      <c r="V4" s="2766"/>
      <c r="W4" s="2767"/>
      <c r="X4" s="2767"/>
      <c r="Y4" s="2767"/>
      <c r="Z4" s="2767"/>
      <c r="AA4" s="2767"/>
      <c r="AB4" s="2767"/>
      <c r="AC4" s="2768"/>
      <c r="AD4" s="2766" t="e">
        <f>INDEX(PT_DIFFERENTIATION_CS,MATCH(C4,PT_DIFFERENTIATION_CS_ID,0))</f>
        <v>#N/A</v>
      </c>
      <c r="AE4" s="2767"/>
      <c r="AF4" s="2767"/>
      <c r="AG4" s="2767"/>
      <c r="AH4" s="2767"/>
      <c r="AI4" s="2767"/>
      <c r="AJ4" s="2767"/>
      <c r="AK4" s="2767"/>
      <c r="AL4" s="2768"/>
      <c r="AM4" s="1176" t="s">
        <v>402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779"/>
      <c r="F5" s="2779"/>
      <c r="G5" s="2779"/>
      <c r="H5" s="2778">
        <v>1</v>
      </c>
      <c r="I5" s="1281"/>
      <c r="J5" s="1281"/>
      <c r="K5" s="1281"/>
      <c r="L5" s="1282"/>
      <c r="M5" s="1283"/>
      <c r="N5" s="1283"/>
      <c r="O5" s="1283"/>
      <c r="P5" s="289"/>
      <c r="Q5" s="287"/>
      <c r="R5" s="288"/>
      <c r="S5" s="1254" t="e">
        <f>INDEX(PT_DIFFERENTIATION_NUM_IST_TE,MATCH(D5,PT_DIFFERENTIATION_IST_TE_ID,0))</f>
        <v>#N/A</v>
      </c>
      <c r="T5" s="246" t="s">
        <v>403</v>
      </c>
      <c r="U5" s="236"/>
      <c r="V5" s="2766"/>
      <c r="W5" s="2767"/>
      <c r="X5" s="2767"/>
      <c r="Y5" s="2767"/>
      <c r="Z5" s="2767"/>
      <c r="AA5" s="2767"/>
      <c r="AB5" s="2767"/>
      <c r="AC5" s="2768"/>
      <c r="AD5" s="2766" t="e">
        <f>INDEX(PT_DIFFERENTIATION_IST_TE,MATCH(D5,PT_DIFFERENTIATION_IST_TE_ID,0))</f>
        <v>#N/A</v>
      </c>
      <c r="AE5" s="2767"/>
      <c r="AF5" s="2767"/>
      <c r="AG5" s="2767"/>
      <c r="AH5" s="2767"/>
      <c r="AI5" s="2767"/>
      <c r="AJ5" s="2767"/>
      <c r="AK5" s="2767"/>
      <c r="AL5" s="2768"/>
      <c r="AM5" s="1176" t="s">
        <v>404</v>
      </c>
      <c r="AO5" s="435"/>
      <c r="AP5" s="435" t="str">
        <f t="shared" si="0"/>
        <v xml:space="preserve">Источник тепловой энергии  </v>
      </c>
      <c r="AQ5" s="435"/>
      <c r="AR5" s="435"/>
      <c r="AS5" s="1073">
        <v>0</v>
      </c>
    </row>
    <row r="6" spans="1:45" ht="47.25" hidden="1" customHeight="1">
      <c r="A6" s="1281"/>
      <c r="B6" s="1281"/>
      <c r="C6" s="1281"/>
      <c r="D6" s="1281"/>
      <c r="E6" s="2779"/>
      <c r="F6" s="2779"/>
      <c r="G6" s="2779"/>
      <c r="H6" s="2779"/>
      <c r="I6" s="2776" t="e">
        <f>S5&amp;".1"</f>
        <v>#N/A</v>
      </c>
      <c r="J6" s="1281"/>
      <c r="K6" s="1281"/>
      <c r="L6" s="1282" t="s">
        <v>405</v>
      </c>
      <c r="M6" s="472"/>
      <c r="P6" s="2777">
        <v>1</v>
      </c>
      <c r="Q6" s="1249"/>
      <c r="R6" s="291"/>
      <c r="S6" s="1254" t="e">
        <f>$I6</f>
        <v>#N/A</v>
      </c>
      <c r="T6" s="221" t="s">
        <v>406</v>
      </c>
      <c r="U6" s="236"/>
      <c r="V6" s="2769"/>
      <c r="W6" s="2770"/>
      <c r="X6" s="2770"/>
      <c r="Y6" s="2770"/>
      <c r="Z6" s="2770"/>
      <c r="AA6" s="2770"/>
      <c r="AB6" s="2770"/>
      <c r="AC6" s="2771"/>
      <c r="AD6" s="2769"/>
      <c r="AE6" s="2770"/>
      <c r="AF6" s="2770"/>
      <c r="AG6" s="2770"/>
      <c r="AH6" s="2770"/>
      <c r="AI6" s="2770"/>
      <c r="AJ6" s="2770"/>
      <c r="AK6" s="2770"/>
      <c r="AL6" s="2771"/>
      <c r="AM6" s="1176" t="s">
        <v>407</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779"/>
      <c r="F7" s="2779"/>
      <c r="G7" s="2779"/>
      <c r="H7" s="2779"/>
      <c r="I7" s="2787"/>
      <c r="J7" s="2776" t="e">
        <f>I6&amp;".1"</f>
        <v>#N/A</v>
      </c>
      <c r="K7" s="1281"/>
      <c r="L7" s="1282" t="s">
        <v>408</v>
      </c>
      <c r="M7" s="472"/>
      <c r="N7" s="1284"/>
      <c r="P7" s="2777"/>
      <c r="Q7" s="2777">
        <v>1</v>
      </c>
      <c r="R7" s="292"/>
      <c r="S7" s="1254" t="e">
        <f>$J7</f>
        <v>#N/A</v>
      </c>
      <c r="T7" s="222" t="s">
        <v>409</v>
      </c>
      <c r="U7" s="236"/>
      <c r="V7" s="2769"/>
      <c r="W7" s="2770"/>
      <c r="X7" s="2770"/>
      <c r="Y7" s="2770"/>
      <c r="Z7" s="2770"/>
      <c r="AA7" s="2770"/>
      <c r="AB7" s="2770"/>
      <c r="AC7" s="2771"/>
      <c r="AD7" s="2769"/>
      <c r="AE7" s="2770"/>
      <c r="AF7" s="2770"/>
      <c r="AG7" s="2770"/>
      <c r="AH7" s="2770"/>
      <c r="AI7" s="2770"/>
      <c r="AJ7" s="2770"/>
      <c r="AK7" s="2770"/>
      <c r="AL7" s="2771"/>
      <c r="AM7" s="1176" t="s">
        <v>410</v>
      </c>
      <c r="AO7" s="435"/>
      <c r="AP7" s="435" t="str">
        <f t="shared" si="0"/>
        <v>Группа потребителей</v>
      </c>
      <c r="AQ7" s="435"/>
      <c r="AR7" s="435"/>
      <c r="AS7" s="1073">
        <v>0</v>
      </c>
    </row>
    <row r="8" spans="1:45" ht="21" hidden="1" customHeight="1">
      <c r="A8" s="1281"/>
      <c r="B8" s="1281"/>
      <c r="C8" s="1281"/>
      <c r="D8" s="1281"/>
      <c r="E8" s="2779"/>
      <c r="F8" s="2779"/>
      <c r="G8" s="2779"/>
      <c r="H8" s="2779"/>
      <c r="I8" s="2787"/>
      <c r="J8" s="2787"/>
      <c r="K8" s="2776" t="e">
        <f>J7&amp;".1"</f>
        <v>#N/A</v>
      </c>
      <c r="L8" s="1282" t="s">
        <v>411</v>
      </c>
      <c r="M8" s="472"/>
      <c r="N8" s="1284"/>
      <c r="O8" s="1284"/>
      <c r="P8" s="2777"/>
      <c r="Q8" s="2777"/>
      <c r="R8" s="292">
        <v>1</v>
      </c>
      <c r="S8" s="1254" t="e">
        <f>$K8</f>
        <v>#N/A</v>
      </c>
      <c r="T8" s="1265"/>
      <c r="U8" s="236"/>
      <c r="V8" s="261"/>
      <c r="W8" s="686"/>
      <c r="X8" s="261"/>
      <c r="Y8" s="319"/>
      <c r="Z8" s="2753"/>
      <c r="AA8" s="2619" t="s">
        <v>66</v>
      </c>
      <c r="AB8" s="2753"/>
      <c r="AC8" s="2619" t="s">
        <v>66</v>
      </c>
      <c r="AD8" s="261"/>
      <c r="AE8" s="686"/>
      <c r="AF8" s="261"/>
      <c r="AG8" s="319"/>
      <c r="AH8" s="2753"/>
      <c r="AI8" s="2619" t="s">
        <v>66</v>
      </c>
      <c r="AJ8" s="2753"/>
      <c r="AK8" s="2619" t="s">
        <v>66</v>
      </c>
      <c r="AL8" s="261"/>
      <c r="AM8" s="2773" t="s">
        <v>412</v>
      </c>
      <c r="AN8" s="446" t="e">
        <f ca="1">STRCHECKDATE(V9:AL9)</f>
        <v>#NAME?</v>
      </c>
      <c r="AO8" s="435"/>
      <c r="AP8" s="435" t="str">
        <f t="shared" si="0"/>
        <v/>
      </c>
      <c r="AQ8" s="435"/>
      <c r="AR8" s="435"/>
      <c r="AS8" s="1073">
        <v>0</v>
      </c>
    </row>
    <row r="9" spans="1:45" ht="0.75" hidden="1" customHeight="1">
      <c r="A9" s="1281"/>
      <c r="B9" s="1281"/>
      <c r="C9" s="1281"/>
      <c r="D9" s="1281"/>
      <c r="E9" s="2779"/>
      <c r="F9" s="2779"/>
      <c r="G9" s="2779"/>
      <c r="H9" s="2779"/>
      <c r="I9" s="2787"/>
      <c r="J9" s="2787"/>
      <c r="K9" s="2776"/>
      <c r="L9" s="1282"/>
      <c r="M9" s="472"/>
      <c r="N9" s="1284"/>
      <c r="O9" s="1284"/>
      <c r="P9" s="2777"/>
      <c r="Q9" s="2777"/>
      <c r="R9" s="292"/>
      <c r="S9" s="1260"/>
      <c r="T9" s="236"/>
      <c r="U9" s="236"/>
      <c r="V9" s="261"/>
      <c r="W9" s="261"/>
      <c r="X9" s="261"/>
      <c r="Y9" s="264" t="str">
        <f>Z8&amp;"-"&amp;AB8</f>
        <v>-</v>
      </c>
      <c r="Z9" s="2752"/>
      <c r="AA9" s="2619"/>
      <c r="AB9" s="2752"/>
      <c r="AC9" s="2619"/>
      <c r="AD9" s="261"/>
      <c r="AE9" s="261"/>
      <c r="AF9" s="261"/>
      <c r="AG9" s="264" t="str">
        <f>AH8&amp;"-"&amp;AJ8</f>
        <v>-</v>
      </c>
      <c r="AH9" s="2752"/>
      <c r="AI9" s="2619"/>
      <c r="AJ9" s="2752"/>
      <c r="AK9" s="2619"/>
      <c r="AL9" s="261"/>
      <c r="AM9" s="2774"/>
      <c r="AO9" s="435"/>
      <c r="AP9" s="435" t="str">
        <f t="shared" si="0"/>
        <v/>
      </c>
      <c r="AQ9" s="435"/>
      <c r="AR9" s="435"/>
      <c r="AS9" s="1073">
        <v>0</v>
      </c>
    </row>
    <row r="10" spans="1:45" ht="15" hidden="1" customHeight="1">
      <c r="A10" s="1281"/>
      <c r="B10" s="1281"/>
      <c r="C10" s="1281"/>
      <c r="D10" s="1281"/>
      <c r="E10" s="2779"/>
      <c r="F10" s="2779"/>
      <c r="G10" s="2779"/>
      <c r="H10" s="2779"/>
      <c r="I10" s="2787"/>
      <c r="J10" s="2776"/>
      <c r="K10" s="1281"/>
      <c r="L10" s="1282"/>
      <c r="M10" s="472"/>
      <c r="N10" s="1284"/>
      <c r="P10" s="2777"/>
      <c r="Q10" s="2777"/>
      <c r="R10" s="291"/>
      <c r="S10" s="1196"/>
      <c r="T10" s="224" t="s">
        <v>413</v>
      </c>
      <c r="U10" s="302"/>
      <c r="V10" s="302"/>
      <c r="W10" s="302"/>
      <c r="X10" s="302"/>
      <c r="Y10" s="302"/>
      <c r="Z10" s="302"/>
      <c r="AA10" s="302"/>
      <c r="AB10" s="302"/>
      <c r="AC10" s="302"/>
      <c r="AD10" s="302"/>
      <c r="AE10" s="302"/>
      <c r="AF10" s="302"/>
      <c r="AG10" s="302"/>
      <c r="AH10" s="302"/>
      <c r="AI10" s="302"/>
      <c r="AJ10" s="302"/>
      <c r="AK10" s="302"/>
      <c r="AL10" s="260"/>
      <c r="AM10" s="2775"/>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779"/>
      <c r="F11" s="2779"/>
      <c r="G11" s="2779"/>
      <c r="H11" s="2779"/>
      <c r="I11" s="2776"/>
      <c r="J11" s="1281"/>
      <c r="K11" s="1281"/>
      <c r="L11" s="1282"/>
      <c r="M11" s="472"/>
      <c r="P11" s="2777"/>
      <c r="Q11" s="1249"/>
      <c r="R11" s="291"/>
      <c r="S11" s="1196"/>
      <c r="T11" s="223" t="s">
        <v>414</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779"/>
      <c r="F12" s="2779"/>
      <c r="G12" s="2779"/>
      <c r="H12" s="2778"/>
      <c r="I12" s="1281"/>
      <c r="J12" s="1281"/>
      <c r="K12" s="1281"/>
      <c r="L12" s="1282"/>
      <c r="M12" s="1283"/>
      <c r="N12" s="1283"/>
      <c r="O12" s="472"/>
      <c r="P12" s="295"/>
      <c r="Q12" s="310"/>
      <c r="R12" s="290"/>
      <c r="S12" s="1196"/>
      <c r="T12" s="300" t="s">
        <v>415</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520" customFormat="1" ht="0.75" hidden="1" customHeight="1">
      <c r="A13" s="1232"/>
      <c r="B13" s="1232"/>
      <c r="C13" s="1232"/>
      <c r="D13" s="1232"/>
      <c r="E13" s="2779"/>
      <c r="F13" s="2779"/>
      <c r="G13" s="2778"/>
      <c r="H13" s="1232"/>
      <c r="I13" s="1232"/>
      <c r="J13" s="1232"/>
      <c r="K13" s="1232"/>
      <c r="L13" s="1257"/>
      <c r="M13" s="1233"/>
      <c r="N13" s="1233"/>
      <c r="P13" s="1234"/>
      <c r="Q13" s="1235"/>
      <c r="R13" s="1234"/>
      <c r="S13" s="1236"/>
      <c r="T13" s="1237" t="s">
        <v>160</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520" customFormat="1" ht="0.75" hidden="1" customHeight="1">
      <c r="A14" s="1232"/>
      <c r="B14" s="1232"/>
      <c r="C14" s="1232"/>
      <c r="D14" s="1232"/>
      <c r="E14" s="2779"/>
      <c r="F14" s="2778"/>
      <c r="G14" s="1232"/>
      <c r="H14" s="1232"/>
      <c r="I14" s="1232"/>
      <c r="J14" s="1232"/>
      <c r="K14" s="1232"/>
      <c r="L14" s="1257"/>
      <c r="M14" s="1239"/>
      <c r="N14" s="1239"/>
      <c r="P14" s="1234"/>
      <c r="Q14" s="1235"/>
      <c r="R14" s="1234"/>
      <c r="S14" s="1240"/>
      <c r="T14" s="1241" t="s">
        <v>161</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520" customFormat="1" ht="0.75" hidden="1" customHeight="1">
      <c r="A15" s="1232"/>
      <c r="B15" s="1232"/>
      <c r="C15" s="1232"/>
      <c r="D15" s="1232"/>
      <c r="E15" s="2778"/>
      <c r="F15" s="1232"/>
      <c r="G15" s="1232"/>
      <c r="H15" s="1232"/>
      <c r="I15" s="1232"/>
      <c r="J15" s="1232"/>
      <c r="K15" s="1232"/>
      <c r="L15" s="1257"/>
      <c r="M15" s="1239"/>
      <c r="N15" s="1239"/>
      <c r="P15" s="1234"/>
      <c r="Q15" s="1235"/>
      <c r="R15" s="1234"/>
      <c r="S15" s="1240"/>
      <c r="T15" s="1243" t="s">
        <v>162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780"/>
      <c r="AI17" s="2781" t="s">
        <v>66</v>
      </c>
      <c r="AJ17" s="2780"/>
      <c r="AK17" s="2781" t="s">
        <v>66</v>
      </c>
      <c r="AS17" s="1073">
        <v>0</v>
      </c>
    </row>
    <row r="18" spans="1:45" ht="14.25" hidden="1" customHeight="1">
      <c r="AD18" s="1278"/>
      <c r="AE18" s="1278"/>
      <c r="AF18" s="1278"/>
      <c r="AG18" s="264" t="str">
        <f>AH17&amp;"-"&amp;AJ17</f>
        <v>-</v>
      </c>
      <c r="AH18" s="2781"/>
      <c r="AI18" s="2781"/>
      <c r="AJ18" s="2781"/>
      <c r="AK18" s="2781"/>
      <c r="AS18" s="1073">
        <v>0</v>
      </c>
    </row>
    <row r="19" spans="1:45" ht="14.25" hidden="1" customHeight="1">
      <c r="AK19" s="263"/>
      <c r="AS19" s="1073">
        <v>0</v>
      </c>
    </row>
    <row r="20" spans="1:45" s="2519"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51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519" customFormat="1" ht="33.7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7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49"/>
      <c r="U26" s="2749"/>
      <c r="V26" s="2749"/>
      <c r="W26" s="2749"/>
      <c r="X26" s="2749"/>
      <c r="Y26" s="2749"/>
      <c r="Z26" s="2749"/>
      <c r="AA26" s="2749"/>
      <c r="AB26" s="2749"/>
      <c r="AC26" s="2749"/>
      <c r="AD26" s="2749"/>
      <c r="AE26" s="2749"/>
      <c r="AF26" s="2749"/>
      <c r="AG26" s="2749"/>
      <c r="AH26" s="2749"/>
      <c r="AI26" s="2749"/>
      <c r="AJ26" s="2749"/>
      <c r="AK26" s="1161"/>
      <c r="AS26" s="1073">
        <v>28</v>
      </c>
    </row>
    <row r="27" spans="1:45" ht="14.65" customHeight="1">
      <c r="Q27" s="311"/>
      <c r="R27" s="311"/>
      <c r="S27" s="2696" t="str">
        <f>IF(org=0,"Не определено",org)</f>
        <v>ООО "Ноябрьская ПГЭ"</v>
      </c>
      <c r="T27" s="2696"/>
      <c r="U27" s="2696"/>
      <c r="V27" s="2696"/>
      <c r="W27" s="2696"/>
      <c r="X27" s="2696"/>
      <c r="Y27" s="2696"/>
      <c r="Z27" s="2696"/>
      <c r="AA27" s="2696"/>
      <c r="AB27" s="2696"/>
      <c r="AC27" s="2696"/>
      <c r="AD27" s="2696"/>
      <c r="AE27" s="2696"/>
      <c r="AF27" s="2696"/>
      <c r="AG27" s="2696"/>
      <c r="AH27" s="2696"/>
      <c r="AI27" s="2696"/>
      <c r="AJ27" s="2696"/>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529" customFormat="1" ht="25.5" hidden="1" customHeight="1">
      <c r="A29" s="1286"/>
      <c r="B29" s="1286"/>
      <c r="C29" s="1286"/>
      <c r="D29" s="1286"/>
      <c r="E29" s="1286"/>
      <c r="F29" s="1286"/>
      <c r="G29" s="1286"/>
      <c r="H29" s="1286"/>
      <c r="I29" s="1286"/>
      <c r="J29" s="1286"/>
      <c r="K29" s="1286"/>
      <c r="L29" s="1287"/>
      <c r="M29" s="1286"/>
      <c r="N29" s="1286"/>
      <c r="O29" s="1286"/>
      <c r="S29" s="2772" t="s">
        <v>42</v>
      </c>
      <c r="T29" s="2772"/>
      <c r="U29" s="1290"/>
      <c r="V29" s="2754" t="str">
        <f>IF(TITLE_NAME_OR_PR_CHANGE="",IF(TITLE_NAME_OR_PR="","",TITLE_NAME_OR_PR),TITLE_NAME_OR_PR_CHANGE)</f>
        <v/>
      </c>
      <c r="W29" s="2754"/>
      <c r="X29" s="2754"/>
      <c r="Y29" s="2754"/>
      <c r="Z29" s="2754"/>
      <c r="AA29" s="2754"/>
      <c r="AB29" s="2754"/>
      <c r="AC29" s="262"/>
      <c r="AD29" s="2754" t="str">
        <f>IF(TITLE_NAME_OR_PR_CHANGE="",IF(TITLE_NAME_OR_PR="","",TITLE_NAME_OR_PR),TITLE_NAME_OR_PR_CHANGE)</f>
        <v/>
      </c>
      <c r="AE29" s="2754"/>
      <c r="AF29" s="2754"/>
      <c r="AG29" s="2754"/>
      <c r="AH29" s="2754"/>
      <c r="AI29" s="2754"/>
      <c r="AJ29" s="2754"/>
      <c r="AK29" s="262"/>
      <c r="AL29" s="262"/>
      <c r="AM29" s="216"/>
      <c r="AN29" s="303"/>
      <c r="AO29" s="303"/>
      <c r="AP29" s="303"/>
      <c r="AQ29" s="303"/>
      <c r="AR29" s="303"/>
      <c r="AS29" s="353">
        <v>0</v>
      </c>
    </row>
    <row r="30" spans="1:45" s="2529" customFormat="1" ht="18.75" hidden="1" customHeight="1">
      <c r="A30" s="1286"/>
      <c r="B30" s="1286"/>
      <c r="C30" s="1286"/>
      <c r="D30" s="1286"/>
      <c r="E30" s="1286"/>
      <c r="F30" s="1286"/>
      <c r="G30" s="1286"/>
      <c r="H30" s="1286"/>
      <c r="I30" s="1286"/>
      <c r="J30" s="1286"/>
      <c r="K30" s="1286"/>
      <c r="L30" s="1287"/>
      <c r="M30" s="1286"/>
      <c r="N30" s="1286"/>
      <c r="O30" s="1286"/>
      <c r="S30" s="2772" t="s">
        <v>422</v>
      </c>
      <c r="T30" s="2772"/>
      <c r="U30" s="1290"/>
      <c r="V30" s="2755">
        <f>IF(TITLE_DATE_PR_CHANGE="",IF(TITLE_DATE_PR="","",TITLE_DATE_PR),TITLE_DATE_PR_CHANGE)</f>
        <v>45583</v>
      </c>
      <c r="W30" s="2755"/>
      <c r="X30" s="2755"/>
      <c r="Y30" s="2755"/>
      <c r="Z30" s="2755"/>
      <c r="AA30" s="2755"/>
      <c r="AB30" s="2755"/>
      <c r="AC30" s="262"/>
      <c r="AD30" s="2755">
        <f>IF(TITLE_DATE_PR_CHANGE="",IF(TITLE_DATE_PR="","",TITLE_DATE_PR),TITLE_DATE_PR_CHANGE)</f>
        <v>45583</v>
      </c>
      <c r="AE30" s="2755"/>
      <c r="AF30" s="2755"/>
      <c r="AG30" s="2755"/>
      <c r="AH30" s="2755"/>
      <c r="AI30" s="2755"/>
      <c r="AJ30" s="2755"/>
      <c r="AK30" s="262"/>
      <c r="AL30" s="262"/>
      <c r="AM30" s="216"/>
      <c r="AN30" s="303"/>
      <c r="AO30" s="303"/>
      <c r="AP30" s="303"/>
      <c r="AQ30" s="303"/>
      <c r="AR30" s="303"/>
      <c r="AS30" s="353">
        <v>0</v>
      </c>
    </row>
    <row r="31" spans="1:45" s="2529" customFormat="1" ht="18.75" hidden="1" customHeight="1">
      <c r="A31" s="1286"/>
      <c r="B31" s="1286"/>
      <c r="C31" s="1286"/>
      <c r="D31" s="1286"/>
      <c r="E31" s="1286"/>
      <c r="F31" s="1286"/>
      <c r="G31" s="1286"/>
      <c r="H31" s="1286"/>
      <c r="I31" s="1286"/>
      <c r="J31" s="1286"/>
      <c r="K31" s="1286"/>
      <c r="L31" s="1287"/>
      <c r="M31" s="1286"/>
      <c r="N31" s="1286"/>
      <c r="O31" s="1286"/>
      <c r="S31" s="2772" t="s">
        <v>423</v>
      </c>
      <c r="T31" s="2772"/>
      <c r="U31" s="1290"/>
      <c r="V31" s="2754" t="str">
        <f>IF(TITLE_NUMBER_PR_CHANGE="",IF(TITLE_NUMBER_PR="","",TITLE_NUMBER_PR),TITLE_NUMBER_PR_CHANGE)</f>
        <v>18-3341</v>
      </c>
      <c r="W31" s="2754"/>
      <c r="X31" s="2754"/>
      <c r="Y31" s="2754"/>
      <c r="Z31" s="2754"/>
      <c r="AA31" s="2754"/>
      <c r="AB31" s="2754"/>
      <c r="AC31" s="262"/>
      <c r="AD31" s="2754" t="str">
        <f>IF(TITLE_NUMBER_PR_CHANGE="",IF(TITLE_NUMBER_PR="","",TITLE_NUMBER_PR),TITLE_NUMBER_PR_CHANGE)</f>
        <v>18-3341</v>
      </c>
      <c r="AE31" s="2754"/>
      <c r="AF31" s="2754"/>
      <c r="AG31" s="2754"/>
      <c r="AH31" s="2754"/>
      <c r="AI31" s="2754"/>
      <c r="AJ31" s="2754"/>
      <c r="AK31" s="262"/>
      <c r="AL31" s="262"/>
      <c r="AM31" s="216"/>
      <c r="AN31" s="303"/>
      <c r="AO31" s="303"/>
      <c r="AP31" s="303"/>
      <c r="AQ31" s="303"/>
      <c r="AR31" s="303"/>
      <c r="AS31" s="353">
        <v>0</v>
      </c>
    </row>
    <row r="32" spans="1:45" s="2529" customFormat="1" ht="18.75" hidden="1" customHeight="1">
      <c r="A32" s="1286"/>
      <c r="B32" s="1286"/>
      <c r="C32" s="1286"/>
      <c r="D32" s="1286"/>
      <c r="E32" s="1286"/>
      <c r="F32" s="1286"/>
      <c r="G32" s="1286"/>
      <c r="H32" s="1286"/>
      <c r="I32" s="1286"/>
      <c r="J32" s="1286"/>
      <c r="K32" s="1286"/>
      <c r="L32" s="1287"/>
      <c r="M32" s="1286"/>
      <c r="N32" s="1286"/>
      <c r="O32" s="1286"/>
      <c r="S32" s="2772" t="s">
        <v>43</v>
      </c>
      <c r="T32" s="2772"/>
      <c r="U32" s="1290"/>
      <c r="V32" s="2754" t="str">
        <f>IF(TITLE_IST_PUB_CHANGE="",IF(TITLE_IST_PUB="","",TITLE_IST_PUB),TITLE_IST_PUB_CHANGE)</f>
        <v/>
      </c>
      <c r="W32" s="2754"/>
      <c r="X32" s="2754"/>
      <c r="Y32" s="2754"/>
      <c r="Z32" s="2754"/>
      <c r="AA32" s="2754"/>
      <c r="AB32" s="2754"/>
      <c r="AC32" s="262"/>
      <c r="AD32" s="2754" t="str">
        <f>IF(TITLE_IST_PUB_CHANGE="",IF(TITLE_IST_PUB="","",TITLE_IST_PUB),TITLE_IST_PUB_CHANGE)</f>
        <v/>
      </c>
      <c r="AE32" s="2754"/>
      <c r="AF32" s="2754"/>
      <c r="AG32" s="2754"/>
      <c r="AH32" s="2754"/>
      <c r="AI32" s="2754"/>
      <c r="AJ32" s="2754"/>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529" customFormat="1" ht="18.75" customHeight="1">
      <c r="A34" s="1286"/>
      <c r="B34" s="1286"/>
      <c r="C34" s="1286"/>
      <c r="D34" s="1286"/>
      <c r="E34" s="1286"/>
      <c r="F34" s="1286"/>
      <c r="G34" s="1286"/>
      <c r="H34" s="1286"/>
      <c r="I34" s="1286"/>
      <c r="J34" s="1286"/>
      <c r="K34" s="1286"/>
      <c r="L34" s="1287"/>
      <c r="M34" s="1286"/>
      <c r="N34" s="1286"/>
      <c r="O34" s="1286"/>
      <c r="S34" s="2772" t="s">
        <v>424</v>
      </c>
      <c r="T34" s="2772"/>
      <c r="U34" s="1290"/>
      <c r="V34" s="2755">
        <f>IF(TITLE_DATE_PR_CHANGE="",IF(TITLE_DATE_PR="","",TITLE_DATE_PR),TITLE_DATE_PR_CHANGE)</f>
        <v>45583</v>
      </c>
      <c r="W34" s="2755"/>
      <c r="X34" s="2755"/>
      <c r="Y34" s="2755"/>
      <c r="Z34" s="2755"/>
      <c r="AA34" s="2755"/>
      <c r="AB34" s="2755"/>
      <c r="AC34" s="262"/>
      <c r="AD34" s="2755">
        <f>IF(TITLE_DATE_PR_CHANGE="",IF(TITLE_DATE_PR="","",TITLE_DATE_PR),TITLE_DATE_PR_CHANGE)</f>
        <v>45583</v>
      </c>
      <c r="AE34" s="2755"/>
      <c r="AF34" s="2755"/>
      <c r="AG34" s="2755"/>
      <c r="AH34" s="2755"/>
      <c r="AI34" s="2755"/>
      <c r="AJ34" s="2755"/>
      <c r="AK34" s="262"/>
      <c r="AL34" s="262"/>
      <c r="AM34" s="216"/>
      <c r="AN34" s="303"/>
      <c r="AO34" s="303"/>
      <c r="AP34" s="303"/>
      <c r="AQ34" s="303"/>
      <c r="AR34" s="303"/>
      <c r="AS34" s="353">
        <v>0</v>
      </c>
    </row>
    <row r="35" spans="1:45" s="2529" customFormat="1" ht="18.75" customHeight="1">
      <c r="A35" s="1286"/>
      <c r="B35" s="1286"/>
      <c r="C35" s="1286"/>
      <c r="D35" s="1286"/>
      <c r="E35" s="1286"/>
      <c r="F35" s="1286"/>
      <c r="G35" s="1286"/>
      <c r="H35" s="1286"/>
      <c r="I35" s="1286"/>
      <c r="J35" s="1286"/>
      <c r="K35" s="1286"/>
      <c r="L35" s="1287"/>
      <c r="M35" s="1286"/>
      <c r="N35" s="1286"/>
      <c r="O35" s="1286"/>
      <c r="S35" s="2772" t="s">
        <v>425</v>
      </c>
      <c r="T35" s="2772"/>
      <c r="U35" s="1290"/>
      <c r="V35" s="2754" t="str">
        <f>IF(TITLE_NUMBER_PR_CHANGE="",IF(TITLE_NUMBER_PR="","",TITLE_NUMBER_PR),TITLE_NUMBER_PR_CHANGE)</f>
        <v>18-3341</v>
      </c>
      <c r="W35" s="2754"/>
      <c r="X35" s="2754"/>
      <c r="Y35" s="2754"/>
      <c r="Z35" s="2754"/>
      <c r="AA35" s="2754"/>
      <c r="AB35" s="2754"/>
      <c r="AC35" s="262"/>
      <c r="AD35" s="2754" t="str">
        <f>IF(TITLE_NUMBER_PR_CHANGE="",IF(TITLE_NUMBER_PR="","",TITLE_NUMBER_PR),TITLE_NUMBER_PR_CHANGE)</f>
        <v>18-3341</v>
      </c>
      <c r="AE35" s="2754"/>
      <c r="AF35" s="2754"/>
      <c r="AG35" s="2754"/>
      <c r="AH35" s="2754"/>
      <c r="AI35" s="2754"/>
      <c r="AJ35" s="2754"/>
      <c r="AK35" s="262"/>
      <c r="AL35" s="262"/>
      <c r="AM35" s="216"/>
      <c r="AN35" s="303"/>
      <c r="AO35" s="303"/>
      <c r="AP35" s="303"/>
      <c r="AQ35" s="303"/>
      <c r="AR35" s="303"/>
      <c r="AS35" s="353">
        <v>0</v>
      </c>
    </row>
    <row r="36" spans="1:45" s="2529"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65" customHeight="1">
      <c r="Q37" s="311"/>
      <c r="R37" s="311"/>
      <c r="S37" s="1193"/>
      <c r="T37" s="298"/>
      <c r="U37" s="1162"/>
      <c r="V37" s="2756"/>
      <c r="W37" s="2756"/>
      <c r="X37" s="2756"/>
      <c r="Y37" s="2756"/>
      <c r="Z37" s="2756"/>
      <c r="AA37" s="2756"/>
      <c r="AB37" s="2756"/>
      <c r="AC37" s="2756"/>
      <c r="AD37" s="2756"/>
      <c r="AE37" s="2756"/>
      <c r="AF37" s="2756"/>
      <c r="AG37" s="2756"/>
      <c r="AH37" s="2756"/>
      <c r="AI37" s="2756"/>
      <c r="AJ37" s="2756"/>
      <c r="AK37" s="2756"/>
      <c r="AS37" s="1073">
        <v>14</v>
      </c>
    </row>
    <row r="38" spans="1:45" ht="14.65" customHeight="1">
      <c r="Q38" s="311"/>
      <c r="R38" s="311"/>
      <c r="S38" s="2638" t="s">
        <v>302</v>
      </c>
      <c r="T38" s="2638"/>
      <c r="U38" s="2638"/>
      <c r="V38" s="2638"/>
      <c r="W38" s="2638"/>
      <c r="X38" s="2638"/>
      <c r="Y38" s="2638"/>
      <c r="Z38" s="2638"/>
      <c r="AA38" s="2638"/>
      <c r="AB38" s="2638"/>
      <c r="AC38" s="2638"/>
      <c r="AD38" s="2638"/>
      <c r="AE38" s="2638"/>
      <c r="AF38" s="2638"/>
      <c r="AG38" s="2638"/>
      <c r="AH38" s="2638"/>
      <c r="AI38" s="2638"/>
      <c r="AJ38" s="2638"/>
      <c r="AK38" s="2638"/>
      <c r="AL38" s="2638"/>
      <c r="AM38" s="2638" t="s">
        <v>303</v>
      </c>
      <c r="AS38" s="1073">
        <v>14</v>
      </c>
    </row>
    <row r="39" spans="1:45" ht="14.65" customHeight="1">
      <c r="Q39" s="311"/>
      <c r="R39" s="311"/>
      <c r="S39" s="2782" t="s">
        <v>87</v>
      </c>
      <c r="T39" s="2724" t="s">
        <v>428</v>
      </c>
      <c r="U39" s="237"/>
      <c r="V39" s="2757" t="s">
        <v>429</v>
      </c>
      <c r="W39" s="2758"/>
      <c r="X39" s="2792"/>
      <c r="Y39" s="2792"/>
      <c r="Z39" s="2758"/>
      <c r="AA39" s="2758"/>
      <c r="AB39" s="2759"/>
      <c r="AC39" s="2760" t="s">
        <v>430</v>
      </c>
      <c r="AD39" s="2757" t="s">
        <v>429</v>
      </c>
      <c r="AE39" s="2758"/>
      <c r="AF39" s="2792"/>
      <c r="AG39" s="2792"/>
      <c r="AH39" s="2758"/>
      <c r="AI39" s="2758"/>
      <c r="AJ39" s="2759"/>
      <c r="AK39" s="2760" t="s">
        <v>431</v>
      </c>
      <c r="AL39" s="2783" t="s">
        <v>432</v>
      </c>
      <c r="AM39" s="2638"/>
      <c r="AS39" s="1073">
        <v>14</v>
      </c>
    </row>
    <row r="40" spans="1:45" ht="24" customHeight="1">
      <c r="Q40" s="311"/>
      <c r="R40" s="311"/>
      <c r="S40" s="2782"/>
      <c r="T40" s="2724"/>
      <c r="U40" s="953"/>
      <c r="V40" s="2793" t="s">
        <v>433</v>
      </c>
      <c r="W40" s="2710" t="s">
        <v>434</v>
      </c>
      <c r="X40" s="1294" t="s">
        <v>435</v>
      </c>
      <c r="Y40" s="1294"/>
      <c r="Z40" s="2615" t="s">
        <v>436</v>
      </c>
      <c r="AA40" s="2615"/>
      <c r="AB40" s="2609"/>
      <c r="AC40" s="2761"/>
      <c r="AD40" s="2793" t="s">
        <v>433</v>
      </c>
      <c r="AE40" s="2710" t="s">
        <v>434</v>
      </c>
      <c r="AF40" s="1294" t="s">
        <v>435</v>
      </c>
      <c r="AG40" s="1294"/>
      <c r="AH40" s="2615" t="s">
        <v>436</v>
      </c>
      <c r="AI40" s="2615"/>
      <c r="AJ40" s="2609"/>
      <c r="AK40" s="2761"/>
      <c r="AL40" s="2784"/>
      <c r="AM40" s="2638"/>
      <c r="AS40" s="1073">
        <v>23</v>
      </c>
    </row>
    <row r="41" spans="1:45" s="2531" customFormat="1" ht="24" customHeight="1">
      <c r="A41" s="1288"/>
      <c r="B41" s="1288" t="s">
        <v>134</v>
      </c>
      <c r="C41" s="1288" t="s">
        <v>135</v>
      </c>
      <c r="D41" s="1288" t="s">
        <v>136</v>
      </c>
      <c r="E41" s="1282" t="s">
        <v>437</v>
      </c>
      <c r="F41" s="1282" t="s">
        <v>438</v>
      </c>
      <c r="G41" s="1282" t="s">
        <v>439</v>
      </c>
      <c r="H41" s="1282" t="s">
        <v>440</v>
      </c>
      <c r="I41" s="1282" t="s">
        <v>441</v>
      </c>
      <c r="J41" s="1282" t="s">
        <v>442</v>
      </c>
      <c r="K41" s="1282" t="s">
        <v>443</v>
      </c>
      <c r="L41" s="1282" t="s">
        <v>417</v>
      </c>
      <c r="M41" s="1280"/>
      <c r="N41" s="1280"/>
      <c r="O41" s="1280"/>
      <c r="P41" s="1246"/>
      <c r="Q41" s="311"/>
      <c r="R41" s="311"/>
      <c r="S41" s="2782"/>
      <c r="T41" s="2724"/>
      <c r="U41" s="238"/>
      <c r="V41" s="2794"/>
      <c r="W41" s="2715"/>
      <c r="X41" s="1291" t="s">
        <v>444</v>
      </c>
      <c r="Y41" s="1291" t="s">
        <v>445</v>
      </c>
      <c r="Z41" s="1252" t="s">
        <v>446</v>
      </c>
      <c r="AA41" s="2733" t="s">
        <v>447</v>
      </c>
      <c r="AB41" s="2735"/>
      <c r="AC41" s="2762"/>
      <c r="AD41" s="2794"/>
      <c r="AE41" s="2715"/>
      <c r="AF41" s="1291" t="s">
        <v>444</v>
      </c>
      <c r="AG41" s="1291" t="s">
        <v>445</v>
      </c>
      <c r="AH41" s="1252" t="s">
        <v>446</v>
      </c>
      <c r="AI41" s="2733" t="s">
        <v>447</v>
      </c>
      <c r="AJ41" s="2735"/>
      <c r="AK41" s="2762"/>
      <c r="AL41" s="2785"/>
      <c r="AM41" s="2638"/>
      <c r="AN41" s="446"/>
      <c r="AO41" s="435"/>
      <c r="AP41" s="435"/>
      <c r="AQ41" s="435"/>
      <c r="AR41" s="435"/>
      <c r="AS41" s="517">
        <v>23</v>
      </c>
    </row>
    <row r="42" spans="1:45" s="254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108</v>
      </c>
      <c r="T42" s="1173" t="s">
        <v>109</v>
      </c>
      <c r="U42" s="1163" t="str">
        <f ca="1">OFFSET(U42,0,-1)</f>
        <v>2</v>
      </c>
      <c r="V42" s="1253">
        <f ca="1">OFFSET(V42,0,-1)+1</f>
        <v>3</v>
      </c>
      <c r="W42" s="1253"/>
      <c r="X42" s="1259">
        <f ca="1">OFFSET(X42,0,-1)+1</f>
        <v>1</v>
      </c>
      <c r="Y42" s="1259">
        <f ca="1">OFFSET(Y42,0,-1)+1</f>
        <v>2</v>
      </c>
      <c r="Z42" s="1253">
        <f ca="1">OFFSET(Z42,0,-1)+1</f>
        <v>3</v>
      </c>
      <c r="AA42" s="2765">
        <f ca="1">OFFSET(AA42,0,-1)+1</f>
        <v>4</v>
      </c>
      <c r="AB42" s="2765"/>
      <c r="AC42" s="1253">
        <f ca="1">OFFSET(AC42,0,-2)+1</f>
        <v>5</v>
      </c>
      <c r="AD42" s="1253">
        <f ca="1">OFFSET(AD42,0,-1)+1</f>
        <v>6</v>
      </c>
      <c r="AE42" s="1253"/>
      <c r="AF42" s="1259">
        <f ca="1">OFFSET(AF42,0,-1)+1</f>
        <v>1</v>
      </c>
      <c r="AG42" s="1259">
        <f ca="1">OFFSET(AG42,0,-1)+1</f>
        <v>2</v>
      </c>
      <c r="AH42" s="1253">
        <f ca="1">OFFSET(AH42,0,-1)+1</f>
        <v>3</v>
      </c>
      <c r="AI42" s="2765">
        <f ca="1">OFFSET(AI42,0,-1)+1</f>
        <v>4</v>
      </c>
      <c r="AJ42" s="2765"/>
      <c r="AK42" s="1253">
        <f ca="1">OFFSET(AK42,0,-2)+1</f>
        <v>5</v>
      </c>
      <c r="AL42" s="1163">
        <f ca="1">OFFSET(AL42,0,-1)</f>
        <v>5</v>
      </c>
      <c r="AM42" s="1253">
        <f ca="1">OFFSET(AM42,0,-1)+1</f>
        <v>6</v>
      </c>
      <c r="AN42" s="446"/>
      <c r="AO42" s="446"/>
      <c r="AP42" s="446"/>
      <c r="AQ42" s="446"/>
      <c r="AR42" s="446"/>
      <c r="AS42" s="431">
        <v>0</v>
      </c>
    </row>
    <row r="43" spans="1:45" ht="21.95" customHeight="1">
      <c r="A43" s="1281" t="s">
        <v>196</v>
      </c>
      <c r="B43" s="1281"/>
      <c r="C43" s="1281"/>
      <c r="D43" s="1281"/>
      <c r="E43" s="2778">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122</v>
      </c>
      <c r="U43" s="236"/>
      <c r="V43" s="2766"/>
      <c r="W43" s="2767"/>
      <c r="X43" s="2767"/>
      <c r="Y43" s="2767"/>
      <c r="Z43" s="2767"/>
      <c r="AA43" s="2767"/>
      <c r="AB43" s="2767"/>
      <c r="AC43" s="2768"/>
      <c r="AD43" s="2766" t="str">
        <f>INDEX(PT_DIFFERENTIATION_NTAR,MATCH(A43,PT_DIFFERENTIATION_NTAR_ID,0))</f>
        <v/>
      </c>
      <c r="AE43" s="2767"/>
      <c r="AF43" s="2767"/>
      <c r="AG43" s="2767"/>
      <c r="AH43" s="2767"/>
      <c r="AI43" s="2767"/>
      <c r="AJ43" s="2767"/>
      <c r="AK43" s="2767"/>
      <c r="AL43" s="276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196</v>
      </c>
      <c r="B44" s="1281" t="s">
        <v>197</v>
      </c>
      <c r="C44" s="1281"/>
      <c r="D44" s="1281"/>
      <c r="E44" s="2779"/>
      <c r="F44" s="2778">
        <v>1</v>
      </c>
      <c r="G44" s="1281"/>
      <c r="H44" s="1281"/>
      <c r="I44" s="1281"/>
      <c r="J44" s="1281"/>
      <c r="K44" s="1281"/>
      <c r="L44" s="1282"/>
      <c r="M44" s="1283"/>
      <c r="N44" s="1283"/>
      <c r="O44" s="1283"/>
      <c r="P44" s="1250"/>
      <c r="Q44" s="287"/>
      <c r="R44" s="288"/>
      <c r="S44" s="1254" t="str">
        <f>INDEX(PT_DIFFERENTIATION_NUM_TER,MATCH(B44,PT_DIFFERENTIATION_TER_ID,0))</f>
        <v>.</v>
      </c>
      <c r="T44" s="244" t="s">
        <v>399</v>
      </c>
      <c r="U44" s="236"/>
      <c r="V44" s="2766"/>
      <c r="W44" s="2767"/>
      <c r="X44" s="2767"/>
      <c r="Y44" s="2767"/>
      <c r="Z44" s="2767"/>
      <c r="AA44" s="2767"/>
      <c r="AB44" s="2767"/>
      <c r="AC44" s="2768"/>
      <c r="AD44" s="2766" t="str">
        <f>INDEX(PT_DIFFERENTIATION_TER,MATCH(B44,PT_DIFFERENTIATION_TER_ID,0))</f>
        <v/>
      </c>
      <c r="AE44" s="2767"/>
      <c r="AF44" s="2767"/>
      <c r="AG44" s="2767"/>
      <c r="AH44" s="2767"/>
      <c r="AI44" s="2767"/>
      <c r="AJ44" s="2767"/>
      <c r="AK44" s="2767"/>
      <c r="AL44" s="2768"/>
      <c r="AM44" s="1176" t="s">
        <v>400</v>
      </c>
      <c r="AO44" s="435"/>
      <c r="AP44" s="435" t="str">
        <f t="shared" si="1"/>
        <v>Территория действия тарифа</v>
      </c>
      <c r="AQ44" s="435"/>
      <c r="AR44" s="435"/>
      <c r="AS44" s="1073">
        <v>21</v>
      </c>
    </row>
    <row r="45" spans="1:45" ht="24" customHeight="1">
      <c r="A45" s="1281" t="s">
        <v>196</v>
      </c>
      <c r="B45" s="1281" t="s">
        <v>197</v>
      </c>
      <c r="C45" s="1281" t="s">
        <v>198</v>
      </c>
      <c r="D45" s="1281"/>
      <c r="E45" s="2779"/>
      <c r="F45" s="2779"/>
      <c r="G45" s="2778">
        <v>1</v>
      </c>
      <c r="H45" s="1281"/>
      <c r="I45" s="1281"/>
      <c r="J45" s="1281"/>
      <c r="K45" s="1281"/>
      <c r="L45" s="1282"/>
      <c r="M45" s="1283"/>
      <c r="N45" s="1283"/>
      <c r="O45" s="1283"/>
      <c r="P45" s="289"/>
      <c r="Q45" s="287"/>
      <c r="R45" s="288"/>
      <c r="S45" s="1254" t="str">
        <f>INDEX(PT_DIFFERENTIATION_NUM_CS,MATCH(C45,PT_DIFFERENTIATION_CS_ID,0))</f>
        <v>..</v>
      </c>
      <c r="T45" s="245" t="s">
        <v>401</v>
      </c>
      <c r="U45" s="236"/>
      <c r="V45" s="2766"/>
      <c r="W45" s="2767"/>
      <c r="X45" s="2767"/>
      <c r="Y45" s="2767"/>
      <c r="Z45" s="2767"/>
      <c r="AA45" s="2767"/>
      <c r="AB45" s="2767"/>
      <c r="AC45" s="2768"/>
      <c r="AD45" s="2766" t="str">
        <f>INDEX(PT_DIFFERENTIATION_CS,MATCH(C45,PT_DIFFERENTIATION_CS_ID,0))</f>
        <v/>
      </c>
      <c r="AE45" s="2767"/>
      <c r="AF45" s="2767"/>
      <c r="AG45" s="2767"/>
      <c r="AH45" s="2767"/>
      <c r="AI45" s="2767"/>
      <c r="AJ45" s="2767"/>
      <c r="AK45" s="2767"/>
      <c r="AL45" s="2768"/>
      <c r="AM45" s="1176" t="s">
        <v>402</v>
      </c>
      <c r="AO45" s="435"/>
      <c r="AP45" s="435" t="str">
        <f t="shared" si="1"/>
        <v xml:space="preserve">Наименование системы теплоснабжения </v>
      </c>
      <c r="AQ45" s="435"/>
      <c r="AR45" s="435"/>
      <c r="AS45" s="1073">
        <v>23</v>
      </c>
    </row>
    <row r="46" spans="1:45" ht="21.95" customHeight="1">
      <c r="A46" s="1281" t="s">
        <v>196</v>
      </c>
      <c r="B46" s="1281" t="s">
        <v>197</v>
      </c>
      <c r="C46" s="1281" t="s">
        <v>198</v>
      </c>
      <c r="D46" s="1281" t="s">
        <v>199</v>
      </c>
      <c r="E46" s="2779"/>
      <c r="F46" s="2779"/>
      <c r="G46" s="2779"/>
      <c r="H46" s="2778">
        <v>1</v>
      </c>
      <c r="I46" s="1281"/>
      <c r="J46" s="1281"/>
      <c r="K46" s="1281"/>
      <c r="L46" s="1282"/>
      <c r="M46" s="1283"/>
      <c r="N46" s="1283"/>
      <c r="O46" s="1283"/>
      <c r="P46" s="289"/>
      <c r="Q46" s="287"/>
      <c r="R46" s="288"/>
      <c r="S46" s="1254" t="str">
        <f>INDEX(PT_DIFFERENTIATION_NUM_IST_TE,MATCH(D46,PT_DIFFERENTIATION_IST_TE_ID,0))</f>
        <v>...</v>
      </c>
      <c r="T46" s="246" t="s">
        <v>403</v>
      </c>
      <c r="U46" s="236"/>
      <c r="V46" s="2766"/>
      <c r="W46" s="2767"/>
      <c r="X46" s="2767"/>
      <c r="Y46" s="2767"/>
      <c r="Z46" s="2767"/>
      <c r="AA46" s="2767"/>
      <c r="AB46" s="2767"/>
      <c r="AC46" s="2768"/>
      <c r="AD46" s="2766" t="str">
        <f>INDEX(PT_DIFFERENTIATION_IST_TE,MATCH(D46,PT_DIFFERENTIATION_IST_TE_ID,0))</f>
        <v/>
      </c>
      <c r="AE46" s="2767"/>
      <c r="AF46" s="2767"/>
      <c r="AG46" s="2767"/>
      <c r="AH46" s="2767"/>
      <c r="AI46" s="2767"/>
      <c r="AJ46" s="2767"/>
      <c r="AK46" s="2767"/>
      <c r="AL46" s="2768"/>
      <c r="AM46" s="1176" t="s">
        <v>404</v>
      </c>
      <c r="AO46" s="435"/>
      <c r="AP46" s="435" t="str">
        <f t="shared" si="1"/>
        <v xml:space="preserve">Источник тепловой энергии  </v>
      </c>
      <c r="AQ46" s="435"/>
      <c r="AR46" s="435"/>
      <c r="AS46" s="1073">
        <v>21</v>
      </c>
    </row>
    <row r="47" spans="1:45" ht="49.5" customHeight="1">
      <c r="A47" s="1281" t="s">
        <v>196</v>
      </c>
      <c r="B47" s="1281" t="s">
        <v>197</v>
      </c>
      <c r="C47" s="1281" t="s">
        <v>198</v>
      </c>
      <c r="D47" s="1281" t="s">
        <v>199</v>
      </c>
      <c r="E47" s="2779"/>
      <c r="F47" s="2779"/>
      <c r="G47" s="2779"/>
      <c r="H47" s="2779"/>
      <c r="I47" s="2776" t="str">
        <f>S46&amp;".1"</f>
        <v>....1</v>
      </c>
      <c r="J47" s="1281"/>
      <c r="K47" s="1281"/>
      <c r="L47" s="1282" t="s">
        <v>405</v>
      </c>
      <c r="P47" s="2777">
        <v>1</v>
      </c>
      <c r="Q47" s="1249"/>
      <c r="R47" s="291"/>
      <c r="S47" s="1254" t="str">
        <f>$I47</f>
        <v>....1</v>
      </c>
      <c r="T47" s="221" t="s">
        <v>406</v>
      </c>
      <c r="U47" s="236"/>
      <c r="V47" s="2769"/>
      <c r="W47" s="2770"/>
      <c r="X47" s="2770"/>
      <c r="Y47" s="2770"/>
      <c r="Z47" s="2770"/>
      <c r="AA47" s="2770"/>
      <c r="AB47" s="2770"/>
      <c r="AC47" s="2771"/>
      <c r="AD47" s="2769"/>
      <c r="AE47" s="2770"/>
      <c r="AF47" s="2770"/>
      <c r="AG47" s="2770"/>
      <c r="AH47" s="2770"/>
      <c r="AI47" s="2770"/>
      <c r="AJ47" s="2770"/>
      <c r="AK47" s="2770"/>
      <c r="AL47" s="2771"/>
      <c r="AM47" s="1176" t="s">
        <v>407</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196</v>
      </c>
      <c r="B48" s="1281" t="s">
        <v>197</v>
      </c>
      <c r="C48" s="1281" t="s">
        <v>198</v>
      </c>
      <c r="D48" s="1281" t="s">
        <v>199</v>
      </c>
      <c r="E48" s="2779"/>
      <c r="F48" s="2779"/>
      <c r="G48" s="2779"/>
      <c r="H48" s="2779"/>
      <c r="I48" s="2787"/>
      <c r="J48" s="2776" t="str">
        <f>I47&amp;".1"</f>
        <v>....1.1</v>
      </c>
      <c r="K48" s="1281"/>
      <c r="L48" s="1282" t="s">
        <v>408</v>
      </c>
      <c r="P48" s="2777"/>
      <c r="Q48" s="2777">
        <v>1</v>
      </c>
      <c r="R48" s="292"/>
      <c r="S48" s="1254" t="str">
        <f>$J48</f>
        <v>....1.1</v>
      </c>
      <c r="T48" s="222" t="s">
        <v>409</v>
      </c>
      <c r="U48" s="236"/>
      <c r="V48" s="2769"/>
      <c r="W48" s="2770"/>
      <c r="X48" s="2770"/>
      <c r="Y48" s="2770"/>
      <c r="Z48" s="2770"/>
      <c r="AA48" s="2770"/>
      <c r="AB48" s="2770"/>
      <c r="AC48" s="2771"/>
      <c r="AD48" s="2769"/>
      <c r="AE48" s="2770"/>
      <c r="AF48" s="2770"/>
      <c r="AG48" s="2770"/>
      <c r="AH48" s="2770"/>
      <c r="AI48" s="2770"/>
      <c r="AJ48" s="2770"/>
      <c r="AK48" s="2770"/>
      <c r="AL48" s="2771"/>
      <c r="AM48" s="1176" t="s">
        <v>410</v>
      </c>
      <c r="AO48" s="435"/>
      <c r="AP48" s="435" t="str">
        <f t="shared" si="1"/>
        <v>Группа потребителей</v>
      </c>
      <c r="AQ48" s="435"/>
      <c r="AR48" s="435"/>
      <c r="AS48" s="1073">
        <v>21</v>
      </c>
    </row>
    <row r="49" spans="1:45" ht="21.95" customHeight="1">
      <c r="A49" s="1281" t="s">
        <v>196</v>
      </c>
      <c r="B49" s="1281" t="s">
        <v>197</v>
      </c>
      <c r="C49" s="1281" t="s">
        <v>198</v>
      </c>
      <c r="D49" s="1281" t="s">
        <v>199</v>
      </c>
      <c r="E49" s="2779"/>
      <c r="F49" s="2779"/>
      <c r="G49" s="2779"/>
      <c r="H49" s="2779"/>
      <c r="I49" s="2787"/>
      <c r="J49" s="2787"/>
      <c r="K49" s="2776" t="str">
        <f>J48&amp;".1"</f>
        <v>....1.1.1</v>
      </c>
      <c r="L49" s="1282" t="s">
        <v>411</v>
      </c>
      <c r="P49" s="2777"/>
      <c r="Q49" s="2777"/>
      <c r="R49" s="292">
        <v>1</v>
      </c>
      <c r="S49" s="1254" t="str">
        <f>$K49</f>
        <v>....1.1.1</v>
      </c>
      <c r="T49" s="1265"/>
      <c r="U49" s="236"/>
      <c r="V49" s="261"/>
      <c r="W49" s="686"/>
      <c r="X49" s="261"/>
      <c r="Y49" s="319"/>
      <c r="Z49" s="2753"/>
      <c r="AA49" s="2619" t="s">
        <v>66</v>
      </c>
      <c r="AB49" s="2753"/>
      <c r="AC49" s="2619" t="s">
        <v>66</v>
      </c>
      <c r="AD49" s="261"/>
      <c r="AE49" s="686"/>
      <c r="AF49" s="261"/>
      <c r="AG49" s="319"/>
      <c r="AH49" s="2753"/>
      <c r="AI49" s="2619" t="s">
        <v>66</v>
      </c>
      <c r="AJ49" s="2788"/>
      <c r="AK49" s="2619" t="s">
        <v>66</v>
      </c>
      <c r="AL49" s="1266"/>
      <c r="AM49" s="2773" t="s">
        <v>412</v>
      </c>
      <c r="AN49" s="446" t="e">
        <f ca="1">STRCHECKDATE(V50:AL50)</f>
        <v>#NAME?</v>
      </c>
      <c r="AO49" s="435"/>
      <c r="AP49" s="435" t="str">
        <f t="shared" si="1"/>
        <v/>
      </c>
      <c r="AQ49" s="435"/>
      <c r="AR49" s="435"/>
      <c r="AS49" s="1073">
        <v>21</v>
      </c>
    </row>
    <row r="50" spans="1:45" ht="1.1499999999999999" customHeight="1">
      <c r="A50" s="1281" t="s">
        <v>196</v>
      </c>
      <c r="B50" s="1281" t="s">
        <v>197</v>
      </c>
      <c r="C50" s="1281" t="s">
        <v>198</v>
      </c>
      <c r="D50" s="1281" t="s">
        <v>199</v>
      </c>
      <c r="E50" s="2779"/>
      <c r="F50" s="2779"/>
      <c r="G50" s="2779"/>
      <c r="H50" s="2779"/>
      <c r="I50" s="2787"/>
      <c r="J50" s="2787"/>
      <c r="K50" s="2776"/>
      <c r="L50" s="1282"/>
      <c r="P50" s="2777"/>
      <c r="Q50" s="2777"/>
      <c r="R50" s="292"/>
      <c r="S50" s="1260"/>
      <c r="T50" s="236"/>
      <c r="U50" s="236"/>
      <c r="V50" s="261"/>
      <c r="W50" s="261"/>
      <c r="X50" s="261"/>
      <c r="Y50" s="264" t="str">
        <f>Z49&amp;"-"&amp;AB49</f>
        <v>-</v>
      </c>
      <c r="Z50" s="2752"/>
      <c r="AA50" s="2619"/>
      <c r="AB50" s="2752"/>
      <c r="AC50" s="2619"/>
      <c r="AD50" s="261"/>
      <c r="AE50" s="261"/>
      <c r="AF50" s="261"/>
      <c r="AG50" s="264" t="str">
        <f>AH49&amp;"-"&amp;AJ49</f>
        <v>-</v>
      </c>
      <c r="AH50" s="2752"/>
      <c r="AI50" s="2619"/>
      <c r="AJ50" s="2789"/>
      <c r="AK50" s="2619"/>
      <c r="AL50" s="1267"/>
      <c r="AM50" s="2774"/>
      <c r="AO50" s="435"/>
      <c r="AP50" s="435" t="str">
        <f t="shared" si="1"/>
        <v/>
      </c>
      <c r="AQ50" s="435"/>
      <c r="AR50" s="435"/>
      <c r="AS50" s="1073">
        <v>1</v>
      </c>
    </row>
    <row r="51" spans="1:45" ht="11.45" customHeight="1">
      <c r="A51" s="1281" t="s">
        <v>196</v>
      </c>
      <c r="B51" s="1281" t="s">
        <v>197</v>
      </c>
      <c r="C51" s="1281" t="s">
        <v>198</v>
      </c>
      <c r="D51" s="1281" t="s">
        <v>199</v>
      </c>
      <c r="E51" s="2779"/>
      <c r="F51" s="2779"/>
      <c r="G51" s="2779"/>
      <c r="H51" s="2779"/>
      <c r="I51" s="2787"/>
      <c r="J51" s="2776"/>
      <c r="K51" s="1281"/>
      <c r="L51" s="1282"/>
      <c r="P51" s="2777"/>
      <c r="Q51" s="2777"/>
      <c r="R51" s="291"/>
      <c r="S51" s="1196"/>
      <c r="T51" s="224" t="s">
        <v>413</v>
      </c>
      <c r="U51" s="302"/>
      <c r="V51" s="302"/>
      <c r="W51" s="302"/>
      <c r="X51" s="302"/>
      <c r="Y51" s="302"/>
      <c r="Z51" s="302"/>
      <c r="AA51" s="302"/>
      <c r="AB51" s="302"/>
      <c r="AC51" s="302"/>
      <c r="AD51" s="302"/>
      <c r="AE51" s="302"/>
      <c r="AF51" s="302"/>
      <c r="AG51" s="302"/>
      <c r="AH51" s="302"/>
      <c r="AI51" s="302"/>
      <c r="AJ51" s="302"/>
      <c r="AK51" s="302"/>
      <c r="AL51" s="260"/>
      <c r="AM51" s="2775"/>
      <c r="AO51" s="435"/>
      <c r="AP51" s="435" t="str">
        <f t="shared" si="1"/>
        <v>Добавить вид теплоносителя (параметры теплоносителя)</v>
      </c>
      <c r="AQ51" s="435"/>
      <c r="AR51" s="435"/>
      <c r="AS51" s="1073">
        <v>11</v>
      </c>
    </row>
    <row r="52" spans="1:45" ht="11.45" customHeight="1">
      <c r="A52" s="1281" t="s">
        <v>196</v>
      </c>
      <c r="B52" s="1281" t="s">
        <v>197</v>
      </c>
      <c r="C52" s="1281" t="s">
        <v>198</v>
      </c>
      <c r="D52" s="1281" t="s">
        <v>199</v>
      </c>
      <c r="E52" s="2779"/>
      <c r="F52" s="2779"/>
      <c r="G52" s="2779"/>
      <c r="H52" s="2779"/>
      <c r="I52" s="2776"/>
      <c r="J52" s="1281"/>
      <c r="K52" s="1281"/>
      <c r="L52" s="1282"/>
      <c r="P52" s="2777"/>
      <c r="Q52" s="1249"/>
      <c r="R52" s="291"/>
      <c r="S52" s="1196"/>
      <c r="T52" s="223" t="s">
        <v>414</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196</v>
      </c>
      <c r="B53" s="1281" t="s">
        <v>197</v>
      </c>
      <c r="C53" s="1281" t="s">
        <v>198</v>
      </c>
      <c r="D53" s="1281" t="s">
        <v>199</v>
      </c>
      <c r="E53" s="2779"/>
      <c r="F53" s="2779"/>
      <c r="G53" s="2779"/>
      <c r="H53" s="2778"/>
      <c r="I53" s="1281"/>
      <c r="J53" s="1281"/>
      <c r="K53" s="1281"/>
      <c r="L53" s="1282"/>
      <c r="M53" s="1283"/>
      <c r="N53" s="1283"/>
      <c r="O53" s="472"/>
      <c r="P53" s="295"/>
      <c r="Q53" s="310"/>
      <c r="R53" s="290"/>
      <c r="S53" s="1196"/>
      <c r="T53" s="300" t="s">
        <v>415</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520" customFormat="1" ht="1.1499999999999999" customHeight="1">
      <c r="A54" s="1261" t="s">
        <v>196</v>
      </c>
      <c r="B54" s="1261" t="s">
        <v>197</v>
      </c>
      <c r="C54" s="1261" t="s">
        <v>198</v>
      </c>
      <c r="D54" s="1232"/>
      <c r="E54" s="2779"/>
      <c r="F54" s="2779"/>
      <c r="G54" s="2778"/>
      <c r="H54" s="1232"/>
      <c r="I54" s="1232"/>
      <c r="J54" s="1232"/>
      <c r="K54" s="1232"/>
      <c r="L54" s="1257"/>
      <c r="M54" s="1233"/>
      <c r="N54" s="1233"/>
      <c r="P54" s="1234"/>
      <c r="Q54" s="1235"/>
      <c r="R54" s="1234"/>
      <c r="S54" s="1240"/>
      <c r="T54" s="1243" t="s">
        <v>160</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520" customFormat="1" ht="1.1499999999999999" customHeight="1">
      <c r="A55" s="1261" t="s">
        <v>196</v>
      </c>
      <c r="B55" s="1261" t="s">
        <v>197</v>
      </c>
      <c r="C55" s="1232"/>
      <c r="D55" s="1232"/>
      <c r="E55" s="2779"/>
      <c r="F55" s="2778"/>
      <c r="G55" s="1232"/>
      <c r="H55" s="1232"/>
      <c r="I55" s="1232"/>
      <c r="J55" s="1232"/>
      <c r="K55" s="1232"/>
      <c r="L55" s="1257"/>
      <c r="M55" s="1239"/>
      <c r="N55" s="1239"/>
      <c r="P55" s="1234"/>
      <c r="Q55" s="1235"/>
      <c r="R55" s="1234"/>
      <c r="S55" s="1240"/>
      <c r="T55" s="1243" t="s">
        <v>161</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520" customFormat="1" ht="1.1499999999999999" customHeight="1">
      <c r="A56" s="1261" t="s">
        <v>196</v>
      </c>
      <c r="B56" s="1261"/>
      <c r="C56" s="1261"/>
      <c r="D56" s="1261"/>
      <c r="E56" s="2778"/>
      <c r="F56" s="1261"/>
      <c r="G56" s="1261"/>
      <c r="H56" s="1261"/>
      <c r="I56" s="1261"/>
      <c r="J56" s="1261"/>
      <c r="K56" s="1261"/>
      <c r="L56" s="1264"/>
      <c r="M56" s="1239"/>
      <c r="N56" s="1239"/>
      <c r="O56" s="453"/>
      <c r="P56" s="315"/>
      <c r="Q56" s="1262"/>
      <c r="R56" s="315"/>
      <c r="S56" s="1240"/>
      <c r="T56" s="1243" t="s">
        <v>162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520"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786"/>
      <c r="U59" s="2786"/>
      <c r="V59" s="2786"/>
      <c r="W59" s="2786"/>
      <c r="X59" s="2786"/>
      <c r="Y59" s="2786"/>
      <c r="Z59" s="2786"/>
      <c r="AA59" s="2786"/>
      <c r="AB59" s="2786"/>
      <c r="AC59" s="2786"/>
      <c r="AD59" s="2786"/>
      <c r="AE59" s="2786"/>
      <c r="AF59" s="2786"/>
      <c r="AG59" s="2786"/>
      <c r="AH59" s="2786"/>
      <c r="AI59" s="2786"/>
      <c r="AJ59" s="2786"/>
      <c r="AK59" s="2786"/>
      <c r="AL59" s="2786"/>
      <c r="AM59" s="2786"/>
      <c r="AS59" s="1073">
        <v>27</v>
      </c>
    </row>
    <row r="60" spans="1:45" ht="78.75" customHeight="1">
      <c r="O60" s="472"/>
      <c r="T60" s="2786"/>
      <c r="U60" s="2786"/>
      <c r="V60" s="2786"/>
      <c r="W60" s="2786"/>
      <c r="X60" s="2786"/>
      <c r="Y60" s="2786"/>
      <c r="Z60" s="2786"/>
      <c r="AA60" s="2786"/>
      <c r="AB60" s="2786"/>
      <c r="AC60" s="2786"/>
      <c r="AD60" s="2786"/>
      <c r="AE60" s="2786"/>
      <c r="AF60" s="2786"/>
      <c r="AG60" s="2786"/>
      <c r="AH60" s="2786"/>
      <c r="AI60" s="2786"/>
      <c r="AJ60" s="2786"/>
      <c r="AK60" s="2786"/>
      <c r="AL60" s="2786"/>
      <c r="AM60" s="2786"/>
      <c r="AS60" s="1073">
        <v>75</v>
      </c>
    </row>
    <row r="61" spans="1:45" ht="14.65" customHeight="1">
      <c r="O61" s="472"/>
      <c r="AS61" s="1073">
        <v>14</v>
      </c>
    </row>
    <row r="62" spans="1:45" ht="18.75" customHeight="1">
      <c r="O62" s="472"/>
      <c r="S62" s="1171"/>
      <c r="T62" s="2786"/>
      <c r="U62" s="2786"/>
      <c r="V62" s="2786"/>
      <c r="W62" s="2786"/>
      <c r="X62" s="2786"/>
      <c r="Y62" s="2786"/>
      <c r="Z62" s="2786"/>
      <c r="AA62" s="2786"/>
      <c r="AB62" s="2786"/>
      <c r="AC62" s="2786"/>
      <c r="AD62" s="2786"/>
      <c r="AE62" s="2786"/>
      <c r="AF62" s="2786"/>
      <c r="AG62" s="2786"/>
      <c r="AH62" s="2786"/>
      <c r="AI62" s="2786"/>
      <c r="AJ62" s="2786"/>
      <c r="AK62" s="2786"/>
      <c r="AL62" s="2786"/>
      <c r="AM62" s="2786"/>
      <c r="AS62" s="1073">
        <v>18</v>
      </c>
    </row>
    <row r="63" spans="1:45" ht="18.75" customHeight="1">
      <c r="O63" s="472"/>
      <c r="T63" s="2786"/>
      <c r="U63" s="2786"/>
      <c r="V63" s="2786"/>
      <c r="W63" s="2786"/>
      <c r="X63" s="2786"/>
      <c r="Y63" s="2786"/>
      <c r="Z63" s="2786"/>
      <c r="AA63" s="2786"/>
      <c r="AB63" s="2786"/>
      <c r="AC63" s="2786"/>
      <c r="AD63" s="2786"/>
      <c r="AE63" s="2786"/>
      <c r="AF63" s="2786"/>
      <c r="AG63" s="2786"/>
      <c r="AH63" s="2786"/>
      <c r="AI63" s="2786"/>
      <c r="AJ63" s="2786"/>
      <c r="AK63" s="2786"/>
      <c r="AL63" s="2786"/>
      <c r="AM63" s="2786"/>
      <c r="AS63" s="1073">
        <v>18</v>
      </c>
    </row>
    <row r="64" spans="1:45" ht="39.75" customHeight="1">
      <c r="O64" s="472"/>
      <c r="S64" s="1171"/>
      <c r="T64" s="2786"/>
      <c r="U64" s="2786"/>
      <c r="V64" s="2786"/>
      <c r="W64" s="2786"/>
      <c r="X64" s="2786"/>
      <c r="Y64" s="2786"/>
      <c r="Z64" s="2786"/>
      <c r="AA64" s="2786"/>
      <c r="AB64" s="2786"/>
      <c r="AC64" s="2786"/>
      <c r="AD64" s="2786"/>
      <c r="AE64" s="2786"/>
      <c r="AF64" s="2786"/>
      <c r="AG64" s="2786"/>
      <c r="AH64" s="2786"/>
      <c r="AI64" s="2786"/>
      <c r="AJ64" s="2786"/>
      <c r="AK64" s="2786"/>
      <c r="AL64" s="2786"/>
      <c r="AM64" s="2786"/>
      <c r="AS64" s="1073">
        <v>38</v>
      </c>
    </row>
    <row r="65" spans="1:45" ht="22.5" hidden="1" customHeight="1">
      <c r="A65" s="1078" t="s">
        <v>81</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519" hidden="1"/>
    <col min="2" max="2" width="11" style="2519" hidden="1" customWidth="1"/>
    <col min="3" max="3" width="10.5703125" style="2519" hidden="1"/>
    <col min="4" max="4" width="11.85546875" style="2519" hidden="1" customWidth="1"/>
    <col min="5" max="5" width="10" style="2519" hidden="1" customWidth="1"/>
    <col min="6" max="6" width="8.7109375" style="2519" hidden="1" customWidth="1"/>
    <col min="7" max="7" width="7.5703125" style="2519" hidden="1" customWidth="1"/>
    <col min="8" max="8" width="11.42578125" style="2519" hidden="1" customWidth="1"/>
    <col min="9" max="9" width="12" style="2519" hidden="1" customWidth="1"/>
    <col min="10" max="10" width="9.85546875" style="2519" hidden="1" customWidth="1"/>
    <col min="11" max="11" width="11.42578125" style="2519" hidden="1" customWidth="1"/>
    <col min="12" max="12" width="19.140625" style="2545" hidden="1" customWidth="1"/>
    <col min="13" max="14" width="12.28515625" style="2546" hidden="1" customWidth="1"/>
    <col min="15" max="15" width="23.42578125" style="2546" hidden="1" customWidth="1"/>
    <col min="16" max="16" width="3.7109375" style="2547" hidden="1" customWidth="1"/>
    <col min="17" max="18" width="3" style="2548" customWidth="1"/>
    <col min="19" max="19" width="12" style="2549" customWidth="1"/>
    <col min="20" max="20" width="31" style="2513" customWidth="1"/>
    <col min="21" max="21" width="0.140625" style="2513" customWidth="1"/>
    <col min="22" max="22" width="24.7109375" style="2513" hidden="1" customWidth="1"/>
    <col min="23" max="23" width="0.140625" style="2513" hidden="1" customWidth="1"/>
    <col min="24" max="25" width="24.7109375" style="2513" hidden="1" customWidth="1"/>
    <col min="26" max="26" width="11.7109375" style="2513" hidden="1" customWidth="1"/>
    <col min="27" max="27" width="3.7109375" style="2513" hidden="1" customWidth="1"/>
    <col min="28" max="28" width="11.7109375" style="2513" hidden="1" customWidth="1"/>
    <col min="29" max="29" width="8.5703125" style="2513" hidden="1" customWidth="1"/>
    <col min="30" max="30" width="24.7109375" style="2513" customWidth="1"/>
    <col min="31" max="31" width="0.140625" style="2513" customWidth="1"/>
    <col min="32" max="33" width="24" style="2513" customWidth="1"/>
    <col min="34" max="34" width="11" style="2513" customWidth="1"/>
    <col min="35" max="35" width="3.7109375" style="2513" customWidth="1"/>
    <col min="36" max="36" width="11" style="2513" customWidth="1"/>
    <col min="37" max="37" width="8.5703125" style="2513" hidden="1" customWidth="1"/>
    <col min="38" max="38" width="4" style="2513" customWidth="1"/>
    <col min="39" max="39" width="115" style="2513" customWidth="1"/>
    <col min="40" max="44" width="10" style="2520" customWidth="1"/>
    <col min="45" max="45" width="8.42578125" style="2513" hidden="1" customWidth="1"/>
  </cols>
  <sheetData>
    <row r="1" spans="1:45" ht="22.5" hidden="1" customHeight="1">
      <c r="Y1" s="263"/>
      <c r="Z1" s="263"/>
      <c r="AG1" s="263"/>
      <c r="AH1" s="263"/>
      <c r="AS1" s="1073" t="s">
        <v>14</v>
      </c>
    </row>
    <row r="2" spans="1:45" ht="21" hidden="1" customHeight="1">
      <c r="A2" s="1281"/>
      <c r="B2" s="1281"/>
      <c r="C2" s="1281"/>
      <c r="D2" s="1281"/>
      <c r="E2" s="2778">
        <v>1</v>
      </c>
      <c r="F2" s="1281"/>
      <c r="G2" s="1281"/>
      <c r="H2" s="1281"/>
      <c r="I2" s="1281"/>
      <c r="J2" s="1281"/>
      <c r="K2" s="1281"/>
      <c r="L2" s="1282"/>
      <c r="M2" s="1283"/>
      <c r="N2" s="1283"/>
      <c r="O2" s="1283"/>
      <c r="P2" s="296"/>
      <c r="Q2" s="295"/>
      <c r="R2" s="290"/>
      <c r="S2" s="1254" t="e">
        <f>INDEX(PT_DIFFERENTIATION_NUM_NTAR,MATCH(A2,PT_DIFFERENTIATION_NTAR_ID,0))</f>
        <v>#N/A</v>
      </c>
      <c r="T2" s="234" t="s">
        <v>122</v>
      </c>
      <c r="U2" s="236"/>
      <c r="V2" s="2766"/>
      <c r="W2" s="2767"/>
      <c r="X2" s="2767"/>
      <c r="Y2" s="2767"/>
      <c r="Z2" s="2767"/>
      <c r="AA2" s="2767"/>
      <c r="AB2" s="2767"/>
      <c r="AC2" s="2768"/>
      <c r="AD2" s="2766" t="e">
        <f>INDEX(PT_DIFFERENTIATION_NTAR,MATCH(A2,PT_DIFFERENTIATION_NTAR_ID,0))</f>
        <v>#N/A</v>
      </c>
      <c r="AE2" s="2767"/>
      <c r="AF2" s="2767"/>
      <c r="AG2" s="2767"/>
      <c r="AH2" s="2767"/>
      <c r="AI2" s="2767"/>
      <c r="AJ2" s="2767"/>
      <c r="AK2" s="2767"/>
      <c r="AL2" s="2768"/>
      <c r="AM2" s="1176" t="s">
        <v>398</v>
      </c>
      <c r="AO2" s="435"/>
      <c r="AP2" s="435" t="str">
        <f t="shared" ref="AP2:AP15" si="0">IF(T2="","",T2)</f>
        <v>Наименование тарифа</v>
      </c>
      <c r="AQ2" s="435"/>
      <c r="AR2" s="435"/>
      <c r="AS2" s="1073">
        <v>0</v>
      </c>
    </row>
    <row r="3" spans="1:45" ht="21" hidden="1" customHeight="1">
      <c r="A3" s="1281"/>
      <c r="B3" s="1281"/>
      <c r="C3" s="1281"/>
      <c r="D3" s="1281"/>
      <c r="E3" s="2779"/>
      <c r="F3" s="2778">
        <v>1</v>
      </c>
      <c r="G3" s="1281"/>
      <c r="H3" s="1281"/>
      <c r="I3" s="1281"/>
      <c r="J3" s="1281"/>
      <c r="K3" s="1281"/>
      <c r="L3" s="1282"/>
      <c r="M3" s="1283"/>
      <c r="N3" s="1283"/>
      <c r="O3" s="1283"/>
      <c r="P3" s="1250"/>
      <c r="Q3" s="287"/>
      <c r="R3" s="288"/>
      <c r="S3" s="1254" t="e">
        <f>INDEX(PT_DIFFERENTIATION_NUM_TER,MATCH(B3,PT_DIFFERENTIATION_TER_ID,0))</f>
        <v>#N/A</v>
      </c>
      <c r="T3" s="244" t="s">
        <v>399</v>
      </c>
      <c r="U3" s="236"/>
      <c r="V3" s="2766"/>
      <c r="W3" s="2767"/>
      <c r="X3" s="2767"/>
      <c r="Y3" s="2767"/>
      <c r="Z3" s="2767"/>
      <c r="AA3" s="2767"/>
      <c r="AB3" s="2767"/>
      <c r="AC3" s="2768"/>
      <c r="AD3" s="2766" t="e">
        <f>INDEX(PT_DIFFERENTIATION_TER,MATCH(B3,PT_DIFFERENTIATION_TER_ID,0))</f>
        <v>#N/A</v>
      </c>
      <c r="AE3" s="2767"/>
      <c r="AF3" s="2767"/>
      <c r="AG3" s="2767"/>
      <c r="AH3" s="2767"/>
      <c r="AI3" s="2767"/>
      <c r="AJ3" s="2767"/>
      <c r="AK3" s="2767"/>
      <c r="AL3" s="2768"/>
      <c r="AM3" s="1176" t="s">
        <v>400</v>
      </c>
      <c r="AO3" s="435"/>
      <c r="AP3" s="435" t="str">
        <f t="shared" si="0"/>
        <v>Территория действия тарифа</v>
      </c>
      <c r="AQ3" s="435"/>
      <c r="AR3" s="435"/>
      <c r="AS3" s="1073">
        <v>0</v>
      </c>
    </row>
    <row r="4" spans="1:45" ht="23.25" hidden="1" customHeight="1">
      <c r="A4" s="1281"/>
      <c r="B4" s="1281"/>
      <c r="C4" s="1281"/>
      <c r="D4" s="1281"/>
      <c r="E4" s="2779"/>
      <c r="F4" s="2779"/>
      <c r="G4" s="2778">
        <v>1</v>
      </c>
      <c r="H4" s="1281"/>
      <c r="I4" s="1281"/>
      <c r="J4" s="1281"/>
      <c r="K4" s="1281"/>
      <c r="L4" s="1282"/>
      <c r="M4" s="1283"/>
      <c r="N4" s="1283"/>
      <c r="O4" s="1283"/>
      <c r="P4" s="289"/>
      <c r="Q4" s="287"/>
      <c r="R4" s="288"/>
      <c r="S4" s="1254" t="e">
        <f>INDEX(PT_DIFFERENTIATION_NUM_CS,MATCH(C4,PT_DIFFERENTIATION_CS_ID,0))</f>
        <v>#N/A</v>
      </c>
      <c r="T4" s="245" t="s">
        <v>401</v>
      </c>
      <c r="U4" s="236"/>
      <c r="V4" s="2766"/>
      <c r="W4" s="2767"/>
      <c r="X4" s="2767"/>
      <c r="Y4" s="2767"/>
      <c r="Z4" s="2767"/>
      <c r="AA4" s="2767"/>
      <c r="AB4" s="2767"/>
      <c r="AC4" s="2768"/>
      <c r="AD4" s="2766" t="e">
        <f>INDEX(PT_DIFFERENTIATION_CS,MATCH(C4,PT_DIFFERENTIATION_CS_ID,0))</f>
        <v>#N/A</v>
      </c>
      <c r="AE4" s="2767"/>
      <c r="AF4" s="2767"/>
      <c r="AG4" s="2767"/>
      <c r="AH4" s="2767"/>
      <c r="AI4" s="2767"/>
      <c r="AJ4" s="2767"/>
      <c r="AK4" s="2767"/>
      <c r="AL4" s="2768"/>
      <c r="AM4" s="1176" t="s">
        <v>402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779"/>
      <c r="F5" s="2779"/>
      <c r="G5" s="2779"/>
      <c r="H5" s="2778">
        <v>1</v>
      </c>
      <c r="I5" s="1281"/>
      <c r="J5" s="1281"/>
      <c r="K5" s="1281"/>
      <c r="L5" s="1282"/>
      <c r="M5" s="1283"/>
      <c r="N5" s="1283"/>
      <c r="O5" s="1283"/>
      <c r="P5" s="289"/>
      <c r="Q5" s="287"/>
      <c r="R5" s="288"/>
      <c r="S5" s="1254" t="e">
        <f>INDEX(PT_DIFFERENTIATION_NUM_IST_TE,MATCH(D5,PT_DIFFERENTIATION_IST_TE_ID,0))</f>
        <v>#N/A</v>
      </c>
      <c r="T5" s="246" t="s">
        <v>403</v>
      </c>
      <c r="U5" s="236"/>
      <c r="V5" s="2766"/>
      <c r="W5" s="2767"/>
      <c r="X5" s="2767"/>
      <c r="Y5" s="2767"/>
      <c r="Z5" s="2767"/>
      <c r="AA5" s="2767"/>
      <c r="AB5" s="2767"/>
      <c r="AC5" s="2768"/>
      <c r="AD5" s="2766" t="e">
        <f>INDEX(PT_DIFFERENTIATION_IST_TE,MATCH(D5,PT_DIFFERENTIATION_IST_TE_ID,0))</f>
        <v>#N/A</v>
      </c>
      <c r="AE5" s="2767"/>
      <c r="AF5" s="2767"/>
      <c r="AG5" s="2767"/>
      <c r="AH5" s="2767"/>
      <c r="AI5" s="2767"/>
      <c r="AJ5" s="2767"/>
      <c r="AK5" s="2767"/>
      <c r="AL5" s="2768"/>
      <c r="AM5" s="1176" t="s">
        <v>404</v>
      </c>
      <c r="AO5" s="435"/>
      <c r="AP5" s="435" t="str">
        <f t="shared" si="0"/>
        <v xml:space="preserve">Источник тепловой энергии  </v>
      </c>
      <c r="AQ5" s="435"/>
      <c r="AR5" s="435"/>
      <c r="AS5" s="1073">
        <v>0</v>
      </c>
    </row>
    <row r="6" spans="1:45" ht="14.25" hidden="1" customHeight="1">
      <c r="A6" s="1281"/>
      <c r="B6" s="1281"/>
      <c r="C6" s="1281"/>
      <c r="D6" s="1281"/>
      <c r="E6" s="2779"/>
      <c r="F6" s="2779"/>
      <c r="G6" s="2779"/>
      <c r="H6" s="2779"/>
      <c r="I6" s="2776" t="e">
        <f>S5&amp;".1"</f>
        <v>#N/A</v>
      </c>
      <c r="J6" s="1281"/>
      <c r="K6" s="1281"/>
      <c r="L6" s="1282" t="s">
        <v>405</v>
      </c>
      <c r="M6" s="472"/>
      <c r="P6" s="2777">
        <v>1</v>
      </c>
      <c r="Q6" s="1249"/>
      <c r="R6" s="291"/>
      <c r="S6" s="964"/>
      <c r="T6" s="1301"/>
      <c r="U6" s="1302"/>
      <c r="V6" s="2795"/>
      <c r="W6" s="2796"/>
      <c r="X6" s="2796"/>
      <c r="Y6" s="2796"/>
      <c r="Z6" s="2796"/>
      <c r="AA6" s="2796"/>
      <c r="AB6" s="2796"/>
      <c r="AC6" s="2797"/>
      <c r="AD6" s="2795"/>
      <c r="AE6" s="2796"/>
      <c r="AF6" s="2796"/>
      <c r="AG6" s="2796"/>
      <c r="AH6" s="2796"/>
      <c r="AI6" s="2796"/>
      <c r="AJ6" s="2796"/>
      <c r="AK6" s="2796"/>
      <c r="AL6" s="2797"/>
      <c r="AM6" s="1303"/>
      <c r="AO6" s="435"/>
      <c r="AP6" s="435" t="str">
        <f t="shared" si="0"/>
        <v/>
      </c>
      <c r="AQ6" s="435"/>
      <c r="AR6" s="435"/>
      <c r="AS6" s="1073">
        <v>0</v>
      </c>
    </row>
    <row r="7" spans="1:45" ht="21" hidden="1" customHeight="1">
      <c r="A7" s="1281"/>
      <c r="B7" s="1281"/>
      <c r="C7" s="1281"/>
      <c r="D7" s="1281"/>
      <c r="E7" s="2779"/>
      <c r="F7" s="2779"/>
      <c r="G7" s="2779"/>
      <c r="H7" s="2779"/>
      <c r="I7" s="2787"/>
      <c r="J7" s="2776" t="e">
        <f>I6&amp;".1"</f>
        <v>#N/A</v>
      </c>
      <c r="K7" s="1281"/>
      <c r="L7" s="1282" t="s">
        <v>408</v>
      </c>
      <c r="M7" s="472"/>
      <c r="N7" s="1284"/>
      <c r="P7" s="2777"/>
      <c r="Q7" s="2777">
        <v>1</v>
      </c>
      <c r="R7" s="292"/>
      <c r="S7" s="1254" t="e">
        <f>$J7</f>
        <v>#N/A</v>
      </c>
      <c r="T7" s="222" t="s">
        <v>409</v>
      </c>
      <c r="U7" s="236"/>
      <c r="V7" s="2769"/>
      <c r="W7" s="2770"/>
      <c r="X7" s="2770"/>
      <c r="Y7" s="2770"/>
      <c r="Z7" s="2770"/>
      <c r="AA7" s="2770"/>
      <c r="AB7" s="2770"/>
      <c r="AC7" s="2771"/>
      <c r="AD7" s="2769"/>
      <c r="AE7" s="2770"/>
      <c r="AF7" s="2770"/>
      <c r="AG7" s="2770"/>
      <c r="AH7" s="2770"/>
      <c r="AI7" s="2770"/>
      <c r="AJ7" s="2770"/>
      <c r="AK7" s="2770"/>
      <c r="AL7" s="2771"/>
      <c r="AM7" s="1176" t="s">
        <v>410</v>
      </c>
      <c r="AO7" s="435"/>
      <c r="AP7" s="435" t="str">
        <f t="shared" si="0"/>
        <v>Группа потребителей</v>
      </c>
      <c r="AQ7" s="435"/>
      <c r="AR7" s="435"/>
      <c r="AS7" s="1073">
        <v>0</v>
      </c>
    </row>
    <row r="8" spans="1:45" ht="21" hidden="1" customHeight="1">
      <c r="A8" s="1281"/>
      <c r="B8" s="1281"/>
      <c r="C8" s="1281"/>
      <c r="D8" s="1281"/>
      <c r="E8" s="2779"/>
      <c r="F8" s="2779"/>
      <c r="G8" s="2779"/>
      <c r="H8" s="2779"/>
      <c r="I8" s="2787"/>
      <c r="J8" s="2787"/>
      <c r="K8" s="2776" t="e">
        <f>J7&amp;".1"</f>
        <v>#N/A</v>
      </c>
      <c r="L8" s="1282" t="s">
        <v>411</v>
      </c>
      <c r="M8" s="472"/>
      <c r="N8" s="1284"/>
      <c r="O8" s="1284"/>
      <c r="P8" s="2777"/>
      <c r="Q8" s="2777"/>
      <c r="R8" s="292">
        <v>1</v>
      </c>
      <c r="S8" s="1254" t="e">
        <f>$K8</f>
        <v>#N/A</v>
      </c>
      <c r="T8" s="1265"/>
      <c r="U8" s="236"/>
      <c r="V8" s="686"/>
      <c r="W8" s="261"/>
      <c r="X8" s="686"/>
      <c r="Y8" s="1175"/>
      <c r="Z8" s="2753"/>
      <c r="AA8" s="2619" t="s">
        <v>66</v>
      </c>
      <c r="AB8" s="2753"/>
      <c r="AC8" s="2619" t="s">
        <v>66</v>
      </c>
      <c r="AD8" s="686"/>
      <c r="AE8" s="261"/>
      <c r="AF8" s="686"/>
      <c r="AG8" s="1175"/>
      <c r="AH8" s="2753"/>
      <c r="AI8" s="2619" t="s">
        <v>66</v>
      </c>
      <c r="AJ8" s="2753"/>
      <c r="AK8" s="2619" t="s">
        <v>66</v>
      </c>
      <c r="AL8" s="261"/>
      <c r="AM8" s="2773" t="s">
        <v>412</v>
      </c>
      <c r="AN8" s="446" t="e">
        <f ca="1">STRCHECKDATE(V9:AL9)</f>
        <v>#NAME?</v>
      </c>
      <c r="AO8" s="435"/>
      <c r="AP8" s="435" t="str">
        <f t="shared" si="0"/>
        <v/>
      </c>
      <c r="AQ8" s="435"/>
      <c r="AR8" s="435"/>
      <c r="AS8" s="1073">
        <v>0</v>
      </c>
    </row>
    <row r="9" spans="1:45" ht="0.75" hidden="1" customHeight="1">
      <c r="A9" s="1281"/>
      <c r="B9" s="1281"/>
      <c r="C9" s="1281"/>
      <c r="D9" s="1281"/>
      <c r="E9" s="2779"/>
      <c r="F9" s="2779"/>
      <c r="G9" s="2779"/>
      <c r="H9" s="2779"/>
      <c r="I9" s="2787"/>
      <c r="J9" s="2787"/>
      <c r="K9" s="2776"/>
      <c r="L9" s="1282"/>
      <c r="M9" s="472"/>
      <c r="N9" s="1284"/>
      <c r="O9" s="1284"/>
      <c r="P9" s="2777"/>
      <c r="Q9" s="2777"/>
      <c r="R9" s="292"/>
      <c r="S9" s="1260"/>
      <c r="T9" s="236"/>
      <c r="U9" s="236"/>
      <c r="V9" s="261"/>
      <c r="W9" s="261"/>
      <c r="X9" s="261"/>
      <c r="Y9" s="264" t="str">
        <f>Z8&amp;"-"&amp;AB8</f>
        <v>-</v>
      </c>
      <c r="Z9" s="2752"/>
      <c r="AA9" s="2619"/>
      <c r="AB9" s="2752"/>
      <c r="AC9" s="2619"/>
      <c r="AD9" s="261"/>
      <c r="AE9" s="261"/>
      <c r="AF9" s="261"/>
      <c r="AG9" s="264" t="str">
        <f>AH8&amp;"-"&amp;AJ8</f>
        <v>-</v>
      </c>
      <c r="AH9" s="2752"/>
      <c r="AI9" s="2619"/>
      <c r="AJ9" s="2752"/>
      <c r="AK9" s="2619"/>
      <c r="AL9" s="261"/>
      <c r="AM9" s="2774"/>
      <c r="AO9" s="435"/>
      <c r="AP9" s="435" t="str">
        <f t="shared" si="0"/>
        <v/>
      </c>
      <c r="AQ9" s="435"/>
      <c r="AR9" s="435"/>
      <c r="AS9" s="1073">
        <v>0</v>
      </c>
    </row>
    <row r="10" spans="1:45" ht="15" hidden="1" customHeight="1">
      <c r="A10" s="1281"/>
      <c r="B10" s="1281"/>
      <c r="C10" s="1281"/>
      <c r="D10" s="1281"/>
      <c r="E10" s="2779"/>
      <c r="F10" s="2779"/>
      <c r="G10" s="2779"/>
      <c r="H10" s="2779"/>
      <c r="I10" s="2787"/>
      <c r="J10" s="2776"/>
      <c r="K10" s="1281"/>
      <c r="L10" s="1282"/>
      <c r="M10" s="472"/>
      <c r="N10" s="1284"/>
      <c r="P10" s="2777"/>
      <c r="Q10" s="2777"/>
      <c r="R10" s="291"/>
      <c r="S10" s="1196"/>
      <c r="T10" s="223" t="s">
        <v>413</v>
      </c>
      <c r="U10" s="302"/>
      <c r="V10" s="302"/>
      <c r="W10" s="302"/>
      <c r="X10" s="302"/>
      <c r="Y10" s="302"/>
      <c r="Z10" s="302"/>
      <c r="AA10" s="302"/>
      <c r="AB10" s="302"/>
      <c r="AC10" s="302"/>
      <c r="AD10" s="302"/>
      <c r="AE10" s="302"/>
      <c r="AF10" s="302"/>
      <c r="AG10" s="302"/>
      <c r="AH10" s="302"/>
      <c r="AI10" s="302"/>
      <c r="AJ10" s="302"/>
      <c r="AK10" s="302"/>
      <c r="AL10" s="260"/>
      <c r="AM10" s="2775"/>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779"/>
      <c r="F11" s="2779"/>
      <c r="G11" s="2779"/>
      <c r="H11" s="2779"/>
      <c r="I11" s="2776"/>
      <c r="J11" s="1281"/>
      <c r="K11" s="1281"/>
      <c r="L11" s="1282"/>
      <c r="M11" s="472"/>
      <c r="P11" s="2777"/>
      <c r="Q11" s="1249"/>
      <c r="R11" s="291"/>
      <c r="S11" s="1196"/>
      <c r="T11" s="300" t="s">
        <v>414</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779"/>
      <c r="F12" s="2779"/>
      <c r="G12" s="2779"/>
      <c r="H12" s="2778"/>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520" customFormat="1" ht="0.75" hidden="1" customHeight="1">
      <c r="A13" s="1232"/>
      <c r="B13" s="1232"/>
      <c r="C13" s="1232"/>
      <c r="D13" s="1232"/>
      <c r="E13" s="2779"/>
      <c r="F13" s="2779"/>
      <c r="G13" s="2778"/>
      <c r="H13" s="1232"/>
      <c r="I13" s="1232"/>
      <c r="J13" s="1232"/>
      <c r="K13" s="1232"/>
      <c r="L13" s="1257"/>
      <c r="M13" s="1233"/>
      <c r="N13" s="1233"/>
      <c r="P13" s="1234"/>
      <c r="Q13" s="1235"/>
      <c r="R13" s="1234"/>
      <c r="S13" s="1236"/>
      <c r="T13" s="1237" t="s">
        <v>160</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520" customFormat="1" ht="0.75" hidden="1" customHeight="1">
      <c r="A14" s="1232"/>
      <c r="B14" s="1232"/>
      <c r="C14" s="1232"/>
      <c r="D14" s="1232"/>
      <c r="E14" s="2779"/>
      <c r="F14" s="2778"/>
      <c r="G14" s="1232"/>
      <c r="H14" s="1232"/>
      <c r="I14" s="1232"/>
      <c r="J14" s="1232"/>
      <c r="K14" s="1232"/>
      <c r="L14" s="1257"/>
      <c r="M14" s="1239"/>
      <c r="N14" s="1239"/>
      <c r="P14" s="1234"/>
      <c r="Q14" s="1235"/>
      <c r="R14" s="1234"/>
      <c r="S14" s="1240"/>
      <c r="T14" s="1241" t="s">
        <v>161</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520" customFormat="1" ht="0.75" hidden="1" customHeight="1">
      <c r="A15" s="1232"/>
      <c r="B15" s="1232"/>
      <c r="C15" s="1232"/>
      <c r="D15" s="1232"/>
      <c r="E15" s="2778"/>
      <c r="F15" s="1232"/>
      <c r="G15" s="1232"/>
      <c r="H15" s="1232"/>
      <c r="I15" s="1232"/>
      <c r="J15" s="1232"/>
      <c r="K15" s="1232"/>
      <c r="L15" s="1257"/>
      <c r="M15" s="1239"/>
      <c r="N15" s="1239"/>
      <c r="P15" s="1234"/>
      <c r="Q15" s="1235"/>
      <c r="R15" s="1234"/>
      <c r="S15" s="1240"/>
      <c r="T15" s="1243" t="s">
        <v>162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780"/>
      <c r="AI17" s="2781" t="s">
        <v>66</v>
      </c>
      <c r="AJ17" s="2780"/>
      <c r="AK17" s="2781" t="s">
        <v>66</v>
      </c>
      <c r="AS17" s="1073">
        <v>0</v>
      </c>
    </row>
    <row r="18" spans="1:45" ht="14.25" hidden="1" customHeight="1">
      <c r="AD18" s="1278"/>
      <c r="AE18" s="1278"/>
      <c r="AF18" s="1278"/>
      <c r="AG18" s="264" t="str">
        <f>AH17&amp;"-"&amp;AJ17</f>
        <v>-</v>
      </c>
      <c r="AH18" s="2781"/>
      <c r="AI18" s="2781"/>
      <c r="AJ18" s="2781"/>
      <c r="AK18" s="2781"/>
      <c r="AS18" s="1073">
        <v>0</v>
      </c>
    </row>
    <row r="19" spans="1:45" ht="14.25" hidden="1" customHeight="1">
      <c r="AK19" s="263"/>
      <c r="AS19" s="1073">
        <v>0</v>
      </c>
    </row>
    <row r="20" spans="1:45" s="2519"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51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519"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74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49"/>
      <c r="U26" s="2749"/>
      <c r="V26" s="2749"/>
      <c r="W26" s="2749"/>
      <c r="X26" s="2749"/>
      <c r="Y26" s="2749"/>
      <c r="Z26" s="2749"/>
      <c r="AA26" s="2749"/>
      <c r="AB26" s="2749"/>
      <c r="AC26" s="2749"/>
      <c r="AD26" s="2749"/>
      <c r="AE26" s="2749"/>
      <c r="AF26" s="2749"/>
      <c r="AG26" s="2749"/>
      <c r="AH26" s="2749"/>
      <c r="AI26" s="2749"/>
      <c r="AJ26" s="2749"/>
      <c r="AK26" s="1161"/>
      <c r="AS26" s="1073">
        <v>60</v>
      </c>
    </row>
    <row r="27" spans="1:45" ht="14.65" customHeight="1">
      <c r="Q27" s="311"/>
      <c r="R27" s="311"/>
      <c r="S27" s="2696" t="str">
        <f>IF(org=0,"Не определено",org)</f>
        <v>ООО "Ноябрьская ПГЭ"</v>
      </c>
      <c r="T27" s="2696"/>
      <c r="U27" s="2696"/>
      <c r="V27" s="2696"/>
      <c r="W27" s="2696"/>
      <c r="X27" s="2696"/>
      <c r="Y27" s="2696"/>
      <c r="Z27" s="2696"/>
      <c r="AA27" s="2696"/>
      <c r="AB27" s="2696"/>
      <c r="AC27" s="2696"/>
      <c r="AD27" s="2696"/>
      <c r="AE27" s="2696"/>
      <c r="AF27" s="2696"/>
      <c r="AG27" s="2696"/>
      <c r="AH27" s="2696"/>
      <c r="AI27" s="2696"/>
      <c r="AJ27" s="2696"/>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529" customFormat="1" ht="25.5" hidden="1" customHeight="1">
      <c r="A29" s="1286"/>
      <c r="B29" s="1286"/>
      <c r="C29" s="1286"/>
      <c r="D29" s="1286"/>
      <c r="E29" s="1286"/>
      <c r="F29" s="1286"/>
      <c r="G29" s="1286"/>
      <c r="H29" s="1286"/>
      <c r="I29" s="1286"/>
      <c r="J29" s="1286"/>
      <c r="K29" s="1286"/>
      <c r="L29" s="1287"/>
      <c r="M29" s="1286"/>
      <c r="N29" s="1286"/>
      <c r="O29" s="1286"/>
      <c r="S29" s="2772" t="s">
        <v>42</v>
      </c>
      <c r="T29" s="2772"/>
      <c r="U29" s="1290"/>
      <c r="V29" s="2754" t="str">
        <f>IF(TITLE_NAME_OR_PR_CHANGE="",IF(TITLE_NAME_OR_PR="","",TITLE_NAME_OR_PR),TITLE_NAME_OR_PR_CHANGE)</f>
        <v/>
      </c>
      <c r="W29" s="2754"/>
      <c r="X29" s="2754"/>
      <c r="Y29" s="2754"/>
      <c r="Z29" s="2754"/>
      <c r="AA29" s="2754"/>
      <c r="AB29" s="2754"/>
      <c r="AC29" s="262"/>
      <c r="AD29" s="2754" t="str">
        <f>IF(TITLE_NAME_OR_PR_CHANGE="",IF(TITLE_NAME_OR_PR="","",TITLE_NAME_OR_PR),TITLE_NAME_OR_PR_CHANGE)</f>
        <v/>
      </c>
      <c r="AE29" s="2754"/>
      <c r="AF29" s="2754"/>
      <c r="AG29" s="2754"/>
      <c r="AH29" s="2754"/>
      <c r="AI29" s="2754"/>
      <c r="AJ29" s="2754"/>
      <c r="AK29" s="262"/>
      <c r="AL29" s="262"/>
      <c r="AM29" s="216"/>
      <c r="AN29" s="303"/>
      <c r="AO29" s="303"/>
      <c r="AP29" s="303"/>
      <c r="AQ29" s="303"/>
      <c r="AR29" s="303"/>
      <c r="AS29" s="353">
        <v>0</v>
      </c>
    </row>
    <row r="30" spans="1:45" s="2529" customFormat="1" ht="18.75" hidden="1" customHeight="1">
      <c r="A30" s="1286"/>
      <c r="B30" s="1286"/>
      <c r="C30" s="1286"/>
      <c r="D30" s="1286"/>
      <c r="E30" s="1286"/>
      <c r="F30" s="1286"/>
      <c r="G30" s="1286"/>
      <c r="H30" s="1286"/>
      <c r="I30" s="1286"/>
      <c r="J30" s="1286"/>
      <c r="K30" s="1286"/>
      <c r="L30" s="1287"/>
      <c r="M30" s="1286"/>
      <c r="N30" s="1286"/>
      <c r="O30" s="1286"/>
      <c r="S30" s="2772" t="s">
        <v>422</v>
      </c>
      <c r="T30" s="2772"/>
      <c r="U30" s="1290"/>
      <c r="V30" s="2755">
        <f>IF(TITLE_DATE_PR_CHANGE="",IF(TITLE_DATE_PR="","",TITLE_DATE_PR),TITLE_DATE_PR_CHANGE)</f>
        <v>45583</v>
      </c>
      <c r="W30" s="2755"/>
      <c r="X30" s="2755"/>
      <c r="Y30" s="2755"/>
      <c r="Z30" s="2755"/>
      <c r="AA30" s="2755"/>
      <c r="AB30" s="2755"/>
      <c r="AC30" s="262"/>
      <c r="AD30" s="2755">
        <f>IF(TITLE_DATE_PR_CHANGE="",IF(TITLE_DATE_PR="","",TITLE_DATE_PR),TITLE_DATE_PR_CHANGE)</f>
        <v>45583</v>
      </c>
      <c r="AE30" s="2755"/>
      <c r="AF30" s="2755"/>
      <c r="AG30" s="2755"/>
      <c r="AH30" s="2755"/>
      <c r="AI30" s="2755"/>
      <c r="AJ30" s="2755"/>
      <c r="AK30" s="262"/>
      <c r="AL30" s="262"/>
      <c r="AM30" s="216"/>
      <c r="AN30" s="303"/>
      <c r="AO30" s="303"/>
      <c r="AP30" s="303"/>
      <c r="AQ30" s="303"/>
      <c r="AR30" s="303"/>
      <c r="AS30" s="353">
        <v>0</v>
      </c>
    </row>
    <row r="31" spans="1:45" s="2529" customFormat="1" ht="18.75" hidden="1" customHeight="1">
      <c r="A31" s="1286"/>
      <c r="B31" s="1286"/>
      <c r="C31" s="1286"/>
      <c r="D31" s="1286"/>
      <c r="E31" s="1286"/>
      <c r="F31" s="1286"/>
      <c r="G31" s="1286"/>
      <c r="H31" s="1286"/>
      <c r="I31" s="1286"/>
      <c r="J31" s="1286"/>
      <c r="K31" s="1286"/>
      <c r="L31" s="1287"/>
      <c r="M31" s="1286"/>
      <c r="N31" s="1286"/>
      <c r="O31" s="1286"/>
      <c r="S31" s="2772" t="s">
        <v>423</v>
      </c>
      <c r="T31" s="2772"/>
      <c r="U31" s="1290"/>
      <c r="V31" s="2754" t="str">
        <f>IF(TITLE_NUMBER_PR_CHANGE="",IF(TITLE_NUMBER_PR="","",TITLE_NUMBER_PR),TITLE_NUMBER_PR_CHANGE)</f>
        <v>18-3341</v>
      </c>
      <c r="W31" s="2754"/>
      <c r="X31" s="2754"/>
      <c r="Y31" s="2754"/>
      <c r="Z31" s="2754"/>
      <c r="AA31" s="2754"/>
      <c r="AB31" s="2754"/>
      <c r="AC31" s="262"/>
      <c r="AD31" s="2754" t="str">
        <f>IF(TITLE_NUMBER_PR_CHANGE="",IF(TITLE_NUMBER_PR="","",TITLE_NUMBER_PR),TITLE_NUMBER_PR_CHANGE)</f>
        <v>18-3341</v>
      </c>
      <c r="AE31" s="2754"/>
      <c r="AF31" s="2754"/>
      <c r="AG31" s="2754"/>
      <c r="AH31" s="2754"/>
      <c r="AI31" s="2754"/>
      <c r="AJ31" s="2754"/>
      <c r="AK31" s="262"/>
      <c r="AL31" s="262"/>
      <c r="AM31" s="216"/>
      <c r="AN31" s="303"/>
      <c r="AO31" s="303"/>
      <c r="AP31" s="303"/>
      <c r="AQ31" s="303"/>
      <c r="AR31" s="303"/>
      <c r="AS31" s="353">
        <v>0</v>
      </c>
    </row>
    <row r="32" spans="1:45" s="2529" customFormat="1" ht="18.75" hidden="1" customHeight="1">
      <c r="A32" s="1286"/>
      <c r="B32" s="1286"/>
      <c r="C32" s="1286"/>
      <c r="D32" s="1286"/>
      <c r="E32" s="1286"/>
      <c r="F32" s="1286"/>
      <c r="G32" s="1286"/>
      <c r="H32" s="1286"/>
      <c r="I32" s="1286"/>
      <c r="J32" s="1286"/>
      <c r="K32" s="1286"/>
      <c r="L32" s="1287"/>
      <c r="M32" s="1286"/>
      <c r="N32" s="1286"/>
      <c r="O32" s="1286"/>
      <c r="S32" s="2772" t="s">
        <v>43</v>
      </c>
      <c r="T32" s="2772"/>
      <c r="U32" s="1290"/>
      <c r="V32" s="2754" t="str">
        <f>IF(TITLE_IST_PUB_CHANGE="",IF(TITLE_IST_PUB="","",TITLE_IST_PUB),TITLE_IST_PUB_CHANGE)</f>
        <v/>
      </c>
      <c r="W32" s="2754"/>
      <c r="X32" s="2754"/>
      <c r="Y32" s="2754"/>
      <c r="Z32" s="2754"/>
      <c r="AA32" s="2754"/>
      <c r="AB32" s="2754"/>
      <c r="AC32" s="262"/>
      <c r="AD32" s="2754" t="str">
        <f>IF(TITLE_IST_PUB_CHANGE="",IF(TITLE_IST_PUB="","",TITLE_IST_PUB),TITLE_IST_PUB_CHANGE)</f>
        <v/>
      </c>
      <c r="AE32" s="2754"/>
      <c r="AF32" s="2754"/>
      <c r="AG32" s="2754"/>
      <c r="AH32" s="2754"/>
      <c r="AI32" s="2754"/>
      <c r="AJ32" s="2754"/>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529" customFormat="1" ht="18.75" customHeight="1">
      <c r="A34" s="1286"/>
      <c r="B34" s="1286"/>
      <c r="C34" s="1286"/>
      <c r="D34" s="1286"/>
      <c r="E34" s="1286"/>
      <c r="F34" s="1286"/>
      <c r="G34" s="1286"/>
      <c r="H34" s="1286"/>
      <c r="I34" s="1286"/>
      <c r="J34" s="1286"/>
      <c r="K34" s="1286"/>
      <c r="L34" s="1287"/>
      <c r="M34" s="1286"/>
      <c r="N34" s="1286"/>
      <c r="O34" s="1286"/>
      <c r="S34" s="2772" t="s">
        <v>424</v>
      </c>
      <c r="T34" s="2772"/>
      <c r="U34" s="1290"/>
      <c r="V34" s="2755">
        <f>IF(TITLE_DATE_PR_CHANGE="",IF(TITLE_DATE_PR="","",TITLE_DATE_PR),TITLE_DATE_PR_CHANGE)</f>
        <v>45583</v>
      </c>
      <c r="W34" s="2755"/>
      <c r="X34" s="2755"/>
      <c r="Y34" s="2755"/>
      <c r="Z34" s="2755"/>
      <c r="AA34" s="2755"/>
      <c r="AB34" s="2755"/>
      <c r="AC34" s="262"/>
      <c r="AD34" s="2755">
        <f>IF(TITLE_DATE_PR_CHANGE="",IF(TITLE_DATE_PR="","",TITLE_DATE_PR),TITLE_DATE_PR_CHANGE)</f>
        <v>45583</v>
      </c>
      <c r="AE34" s="2755"/>
      <c r="AF34" s="2755"/>
      <c r="AG34" s="2755"/>
      <c r="AH34" s="2755"/>
      <c r="AI34" s="2755"/>
      <c r="AJ34" s="2755"/>
      <c r="AK34" s="262"/>
      <c r="AL34" s="262"/>
      <c r="AM34" s="216"/>
      <c r="AN34" s="303"/>
      <c r="AO34" s="303"/>
      <c r="AP34" s="303"/>
      <c r="AQ34" s="303"/>
      <c r="AR34" s="303"/>
      <c r="AS34" s="353">
        <v>0</v>
      </c>
    </row>
    <row r="35" spans="1:45" s="2529" customFormat="1" ht="18.75" customHeight="1">
      <c r="A35" s="1286"/>
      <c r="B35" s="1286"/>
      <c r="C35" s="1286"/>
      <c r="D35" s="1286"/>
      <c r="E35" s="1286"/>
      <c r="F35" s="1286"/>
      <c r="G35" s="1286"/>
      <c r="H35" s="1286"/>
      <c r="I35" s="1286"/>
      <c r="J35" s="1286"/>
      <c r="K35" s="1286"/>
      <c r="L35" s="1287"/>
      <c r="M35" s="1286"/>
      <c r="N35" s="1286"/>
      <c r="O35" s="1286"/>
      <c r="S35" s="2772" t="s">
        <v>425</v>
      </c>
      <c r="T35" s="2772"/>
      <c r="U35" s="1290"/>
      <c r="V35" s="2754" t="str">
        <f>IF(TITLE_NUMBER_PR_CHANGE="",IF(TITLE_NUMBER_PR="","",TITLE_NUMBER_PR),TITLE_NUMBER_PR_CHANGE)</f>
        <v>18-3341</v>
      </c>
      <c r="W35" s="2754"/>
      <c r="X35" s="2754"/>
      <c r="Y35" s="2754"/>
      <c r="Z35" s="2754"/>
      <c r="AA35" s="2754"/>
      <c r="AB35" s="2754"/>
      <c r="AC35" s="262"/>
      <c r="AD35" s="2754" t="str">
        <f>IF(TITLE_NUMBER_PR_CHANGE="",IF(TITLE_NUMBER_PR="","",TITLE_NUMBER_PR),TITLE_NUMBER_PR_CHANGE)</f>
        <v>18-3341</v>
      </c>
      <c r="AE35" s="2754"/>
      <c r="AF35" s="2754"/>
      <c r="AG35" s="2754"/>
      <c r="AH35" s="2754"/>
      <c r="AI35" s="2754"/>
      <c r="AJ35" s="2754"/>
      <c r="AK35" s="262"/>
      <c r="AL35" s="262"/>
      <c r="AM35" s="216"/>
      <c r="AN35" s="303"/>
      <c r="AO35" s="303"/>
      <c r="AP35" s="303"/>
      <c r="AQ35" s="303"/>
      <c r="AR35" s="303"/>
      <c r="AS35" s="353">
        <v>0</v>
      </c>
    </row>
    <row r="36" spans="1:45" s="2529"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65" customHeight="1">
      <c r="Q37" s="311"/>
      <c r="R37" s="311"/>
      <c r="S37" s="1193"/>
      <c r="T37" s="298"/>
      <c r="U37" s="1162"/>
      <c r="V37" s="2756"/>
      <c r="W37" s="2756"/>
      <c r="X37" s="2756"/>
      <c r="Y37" s="2756"/>
      <c r="Z37" s="2756"/>
      <c r="AA37" s="2756"/>
      <c r="AB37" s="2756"/>
      <c r="AC37" s="2756"/>
      <c r="AD37" s="2756"/>
      <c r="AE37" s="2756"/>
      <c r="AF37" s="2756"/>
      <c r="AG37" s="2756"/>
      <c r="AH37" s="2756"/>
      <c r="AI37" s="2756"/>
      <c r="AJ37" s="2756"/>
      <c r="AK37" s="2756"/>
      <c r="AS37" s="1073">
        <v>14</v>
      </c>
    </row>
    <row r="38" spans="1:45" ht="14.65" customHeight="1">
      <c r="Q38" s="311"/>
      <c r="R38" s="311"/>
      <c r="S38" s="2638" t="s">
        <v>302</v>
      </c>
      <c r="T38" s="2638"/>
      <c r="U38" s="2638"/>
      <c r="V38" s="2638"/>
      <c r="W38" s="2638"/>
      <c r="X38" s="2638"/>
      <c r="Y38" s="2638"/>
      <c r="Z38" s="2638"/>
      <c r="AA38" s="2638"/>
      <c r="AB38" s="2638"/>
      <c r="AC38" s="2638"/>
      <c r="AD38" s="2638"/>
      <c r="AE38" s="2638"/>
      <c r="AF38" s="2638"/>
      <c r="AG38" s="2638"/>
      <c r="AH38" s="2638"/>
      <c r="AI38" s="2638"/>
      <c r="AJ38" s="2638"/>
      <c r="AK38" s="2638"/>
      <c r="AL38" s="2638"/>
      <c r="AM38" s="2638" t="s">
        <v>303</v>
      </c>
      <c r="AS38" s="1073">
        <v>14</v>
      </c>
    </row>
    <row r="39" spans="1:45" ht="14.65" customHeight="1">
      <c r="Q39" s="311"/>
      <c r="R39" s="311"/>
      <c r="S39" s="2782" t="s">
        <v>87</v>
      </c>
      <c r="T39" s="2724" t="s">
        <v>428</v>
      </c>
      <c r="U39" s="237"/>
      <c r="V39" s="2757" t="s">
        <v>429</v>
      </c>
      <c r="W39" s="2758"/>
      <c r="X39" s="2758"/>
      <c r="Y39" s="2758"/>
      <c r="Z39" s="2758"/>
      <c r="AA39" s="2758"/>
      <c r="AB39" s="2759"/>
      <c r="AC39" s="2760" t="s">
        <v>430</v>
      </c>
      <c r="AD39" s="2757" t="s">
        <v>429</v>
      </c>
      <c r="AE39" s="2758"/>
      <c r="AF39" s="2758"/>
      <c r="AG39" s="2758"/>
      <c r="AH39" s="2758"/>
      <c r="AI39" s="2758"/>
      <c r="AJ39" s="2759"/>
      <c r="AK39" s="2760" t="s">
        <v>431</v>
      </c>
      <c r="AL39" s="2783" t="s">
        <v>432</v>
      </c>
      <c r="AM39" s="2638"/>
      <c r="AS39" s="1073">
        <v>14</v>
      </c>
    </row>
    <row r="40" spans="1:45" ht="35.65" customHeight="1">
      <c r="Q40" s="311"/>
      <c r="R40" s="311"/>
      <c r="S40" s="2782"/>
      <c r="T40" s="2724"/>
      <c r="U40" s="953"/>
      <c r="V40" s="2695" t="s">
        <v>433</v>
      </c>
      <c r="W40" s="2763"/>
      <c r="X40" s="2610" t="s">
        <v>435</v>
      </c>
      <c r="Y40" s="2609"/>
      <c r="Z40" s="2610" t="s">
        <v>436</v>
      </c>
      <c r="AA40" s="2615"/>
      <c r="AB40" s="2609"/>
      <c r="AC40" s="2761"/>
      <c r="AD40" s="2695" t="s">
        <v>452</v>
      </c>
      <c r="AE40" s="2763"/>
      <c r="AF40" s="2610" t="s">
        <v>435</v>
      </c>
      <c r="AG40" s="2609"/>
      <c r="AH40" s="2610" t="s">
        <v>436</v>
      </c>
      <c r="AI40" s="2615"/>
      <c r="AJ40" s="2609"/>
      <c r="AK40" s="2761"/>
      <c r="AL40" s="2784"/>
      <c r="AM40" s="2638"/>
      <c r="AS40" s="1073">
        <v>34</v>
      </c>
    </row>
    <row r="41" spans="1:45" ht="35.65" customHeight="1">
      <c r="A41" s="1288"/>
      <c r="B41" s="1288" t="s">
        <v>134</v>
      </c>
      <c r="C41" s="1288" t="s">
        <v>135</v>
      </c>
      <c r="D41" s="1288" t="s">
        <v>136</v>
      </c>
      <c r="E41" s="1282" t="s">
        <v>437</v>
      </c>
      <c r="F41" s="1282" t="s">
        <v>438</v>
      </c>
      <c r="G41" s="1282" t="s">
        <v>439</v>
      </c>
      <c r="H41" s="1282" t="s">
        <v>440</v>
      </c>
      <c r="I41" s="1282" t="s">
        <v>441</v>
      </c>
      <c r="J41" s="1282" t="s">
        <v>442</v>
      </c>
      <c r="K41" s="1282" t="s">
        <v>443</v>
      </c>
      <c r="L41" s="1282" t="s">
        <v>417</v>
      </c>
      <c r="Q41" s="311"/>
      <c r="R41" s="311"/>
      <c r="S41" s="2782"/>
      <c r="T41" s="2724"/>
      <c r="U41" s="238"/>
      <c r="V41" s="2744"/>
      <c r="W41" s="2764"/>
      <c r="X41" s="1140" t="s">
        <v>444</v>
      </c>
      <c r="Y41" s="1140" t="s">
        <v>445</v>
      </c>
      <c r="Z41" s="1256" t="s">
        <v>446</v>
      </c>
      <c r="AA41" s="2733" t="s">
        <v>447</v>
      </c>
      <c r="AB41" s="2735"/>
      <c r="AC41" s="2762"/>
      <c r="AD41" s="2744"/>
      <c r="AE41" s="2764"/>
      <c r="AF41" s="1140" t="s">
        <v>444</v>
      </c>
      <c r="AG41" s="1140" t="s">
        <v>445</v>
      </c>
      <c r="AH41" s="1256" t="s">
        <v>446</v>
      </c>
      <c r="AI41" s="2733" t="s">
        <v>447</v>
      </c>
      <c r="AJ41" s="2735"/>
      <c r="AK41" s="2762"/>
      <c r="AL41" s="2785"/>
      <c r="AM41" s="2638"/>
      <c r="AS41" s="1073">
        <v>34</v>
      </c>
    </row>
    <row r="42" spans="1:45" s="254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108</v>
      </c>
      <c r="T42" s="1173" t="s">
        <v>109</v>
      </c>
      <c r="U42" s="1163" t="str">
        <f ca="1">OFFSET(U42,0,-1)</f>
        <v>2</v>
      </c>
      <c r="V42" s="1253">
        <f ca="1">OFFSET(V42,0,-1)+1</f>
        <v>3</v>
      </c>
      <c r="W42" s="1253"/>
      <c r="X42" s="1253">
        <f ca="1">OFFSET(X42,0,-1)+1</f>
        <v>1</v>
      </c>
      <c r="Y42" s="1253">
        <f ca="1">OFFSET(Y42,0,-1)+1</f>
        <v>2</v>
      </c>
      <c r="Z42" s="1253">
        <f ca="1">OFFSET(Z42,0,-1)+1</f>
        <v>3</v>
      </c>
      <c r="AA42" s="2765">
        <f ca="1">OFFSET(AA42,0,-1)+1</f>
        <v>4</v>
      </c>
      <c r="AB42" s="2765"/>
      <c r="AC42" s="1253">
        <f ca="1">OFFSET(AC42,0,-2)+1</f>
        <v>5</v>
      </c>
      <c r="AD42" s="1253">
        <f ca="1">OFFSET(AD42,0,-1)+1</f>
        <v>6</v>
      </c>
      <c r="AE42" s="1253"/>
      <c r="AF42" s="1253">
        <f ca="1">OFFSET(AF42,0,-1)+1</f>
        <v>1</v>
      </c>
      <c r="AG42" s="1253">
        <f ca="1">OFFSET(AG42,0,-1)+1</f>
        <v>2</v>
      </c>
      <c r="AH42" s="1253">
        <f ca="1">OFFSET(AH42,0,-1)+1</f>
        <v>3</v>
      </c>
      <c r="AI42" s="2765">
        <f ca="1">OFFSET(AI42,0,-1)+1</f>
        <v>4</v>
      </c>
      <c r="AJ42" s="2765"/>
      <c r="AK42" s="1253">
        <f ca="1">OFFSET(AK42,0,-2)+1</f>
        <v>5</v>
      </c>
      <c r="AL42" s="1163">
        <f ca="1">OFFSET(AL42,0,-1)</f>
        <v>5</v>
      </c>
      <c r="AM42" s="1253">
        <f ca="1">OFFSET(AM42,0,-1)+1</f>
        <v>6</v>
      </c>
      <c r="AN42" s="446"/>
      <c r="AO42" s="446"/>
      <c r="AP42" s="446"/>
      <c r="AQ42" s="446"/>
      <c r="AR42" s="446"/>
      <c r="AS42" s="431">
        <v>0</v>
      </c>
    </row>
    <row r="43" spans="1:45" ht="21.95" customHeight="1">
      <c r="A43" s="1281" t="s">
        <v>172</v>
      </c>
      <c r="B43" s="1281"/>
      <c r="C43" s="1281"/>
      <c r="D43" s="1281"/>
      <c r="E43" s="2778">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122</v>
      </c>
      <c r="U43" s="236"/>
      <c r="V43" s="2766"/>
      <c r="W43" s="2767"/>
      <c r="X43" s="2767"/>
      <c r="Y43" s="2767"/>
      <c r="Z43" s="2767"/>
      <c r="AA43" s="2767"/>
      <c r="AB43" s="2767"/>
      <c r="AC43" s="2768"/>
      <c r="AD43" s="2766" t="str">
        <f>INDEX(PT_DIFFERENTIATION_NTAR,MATCH(A43,PT_DIFFERENTIATION_NTAR_ID,0))</f>
        <v/>
      </c>
      <c r="AE43" s="2767"/>
      <c r="AF43" s="2767"/>
      <c r="AG43" s="2767"/>
      <c r="AH43" s="2767"/>
      <c r="AI43" s="2767"/>
      <c r="AJ43" s="2767"/>
      <c r="AK43" s="2767"/>
      <c r="AL43" s="276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172</v>
      </c>
      <c r="B44" s="1281" t="s">
        <v>173</v>
      </c>
      <c r="C44" s="1281"/>
      <c r="D44" s="1281"/>
      <c r="E44" s="2779"/>
      <c r="F44" s="2778">
        <v>1</v>
      </c>
      <c r="G44" s="1281"/>
      <c r="H44" s="1281"/>
      <c r="I44" s="1281"/>
      <c r="J44" s="1281"/>
      <c r="K44" s="1281"/>
      <c r="L44" s="1282"/>
      <c r="M44" s="1283"/>
      <c r="N44" s="1283"/>
      <c r="O44" s="1283"/>
      <c r="P44" s="1250"/>
      <c r="Q44" s="287"/>
      <c r="R44" s="288"/>
      <c r="S44" s="1254" t="str">
        <f>INDEX(PT_DIFFERENTIATION_NUM_TER,MATCH(B44,PT_DIFFERENTIATION_TER_ID,0))</f>
        <v>.</v>
      </c>
      <c r="T44" s="244" t="s">
        <v>399</v>
      </c>
      <c r="U44" s="236"/>
      <c r="V44" s="2766"/>
      <c r="W44" s="2767"/>
      <c r="X44" s="2767"/>
      <c r="Y44" s="2767"/>
      <c r="Z44" s="2767"/>
      <c r="AA44" s="2767"/>
      <c r="AB44" s="2767"/>
      <c r="AC44" s="2768"/>
      <c r="AD44" s="2766" t="str">
        <f>INDEX(PT_DIFFERENTIATION_TER,MATCH(B44,PT_DIFFERENTIATION_TER_ID,0))</f>
        <v/>
      </c>
      <c r="AE44" s="2767"/>
      <c r="AF44" s="2767"/>
      <c r="AG44" s="2767"/>
      <c r="AH44" s="2767"/>
      <c r="AI44" s="2767"/>
      <c r="AJ44" s="2767"/>
      <c r="AK44" s="2767"/>
      <c r="AL44" s="2768"/>
      <c r="AM44" s="1176" t="s">
        <v>400</v>
      </c>
      <c r="AO44" s="435"/>
      <c r="AP44" s="435" t="str">
        <f t="shared" si="1"/>
        <v>Территория действия тарифа</v>
      </c>
      <c r="AQ44" s="435"/>
      <c r="AR44" s="435"/>
      <c r="AS44" s="1073">
        <v>21</v>
      </c>
    </row>
    <row r="45" spans="1:45" ht="24" customHeight="1">
      <c r="A45" s="1281" t="s">
        <v>172</v>
      </c>
      <c r="B45" s="1281" t="s">
        <v>173</v>
      </c>
      <c r="C45" s="1281" t="s">
        <v>174</v>
      </c>
      <c r="D45" s="1281"/>
      <c r="E45" s="2779"/>
      <c r="F45" s="2779"/>
      <c r="G45" s="2778">
        <v>1</v>
      </c>
      <c r="H45" s="1281"/>
      <c r="I45" s="1281"/>
      <c r="J45" s="1281"/>
      <c r="K45" s="1281"/>
      <c r="L45" s="1282"/>
      <c r="M45" s="1283"/>
      <c r="N45" s="1283"/>
      <c r="O45" s="1283"/>
      <c r="P45" s="289"/>
      <c r="Q45" s="287"/>
      <c r="R45" s="288"/>
      <c r="S45" s="1254" t="str">
        <f>INDEX(PT_DIFFERENTIATION_NUM_CS,MATCH(C45,PT_DIFFERENTIATION_CS_ID,0))</f>
        <v>..</v>
      </c>
      <c r="T45" s="245" t="s">
        <v>401</v>
      </c>
      <c r="U45" s="236"/>
      <c r="V45" s="2766"/>
      <c r="W45" s="2767"/>
      <c r="X45" s="2767"/>
      <c r="Y45" s="2767"/>
      <c r="Z45" s="2767"/>
      <c r="AA45" s="2767"/>
      <c r="AB45" s="2767"/>
      <c r="AC45" s="2768"/>
      <c r="AD45" s="2766" t="str">
        <f>INDEX(PT_DIFFERENTIATION_CS,MATCH(C45,PT_DIFFERENTIATION_CS_ID,0))</f>
        <v/>
      </c>
      <c r="AE45" s="2767"/>
      <c r="AF45" s="2767"/>
      <c r="AG45" s="2767"/>
      <c r="AH45" s="2767"/>
      <c r="AI45" s="2767"/>
      <c r="AJ45" s="2767"/>
      <c r="AK45" s="2767"/>
      <c r="AL45" s="2768"/>
      <c r="AM45" s="1176" t="s">
        <v>402</v>
      </c>
      <c r="AO45" s="435"/>
      <c r="AP45" s="435" t="str">
        <f t="shared" si="1"/>
        <v xml:space="preserve">Наименование системы теплоснабжения </v>
      </c>
      <c r="AQ45" s="435"/>
      <c r="AR45" s="435"/>
      <c r="AS45" s="1073">
        <v>23</v>
      </c>
    </row>
    <row r="46" spans="1:45" ht="21.95" customHeight="1">
      <c r="A46" s="1281" t="s">
        <v>172</v>
      </c>
      <c r="B46" s="1281" t="s">
        <v>173</v>
      </c>
      <c r="C46" s="1281" t="s">
        <v>174</v>
      </c>
      <c r="D46" s="1281" t="s">
        <v>175</v>
      </c>
      <c r="E46" s="2779"/>
      <c r="F46" s="2779"/>
      <c r="G46" s="2779"/>
      <c r="H46" s="2778">
        <v>1</v>
      </c>
      <c r="I46" s="1281"/>
      <c r="J46" s="1281"/>
      <c r="K46" s="1281"/>
      <c r="L46" s="1282"/>
      <c r="M46" s="1283"/>
      <c r="N46" s="1283"/>
      <c r="O46" s="1283"/>
      <c r="P46" s="289"/>
      <c r="Q46" s="287"/>
      <c r="R46" s="288"/>
      <c r="S46" s="1254" t="str">
        <f>INDEX(PT_DIFFERENTIATION_NUM_IST_TE,MATCH(D46,PT_DIFFERENTIATION_IST_TE_ID,0))</f>
        <v>...</v>
      </c>
      <c r="T46" s="246" t="s">
        <v>403</v>
      </c>
      <c r="U46" s="236"/>
      <c r="V46" s="2766"/>
      <c r="W46" s="2767"/>
      <c r="X46" s="2767"/>
      <c r="Y46" s="2767"/>
      <c r="Z46" s="2767"/>
      <c r="AA46" s="2767"/>
      <c r="AB46" s="2767"/>
      <c r="AC46" s="2768"/>
      <c r="AD46" s="2766" t="str">
        <f>INDEX(PT_DIFFERENTIATION_IST_TE,MATCH(D46,PT_DIFFERENTIATION_IST_TE_ID,0))</f>
        <v/>
      </c>
      <c r="AE46" s="2767"/>
      <c r="AF46" s="2767"/>
      <c r="AG46" s="2767"/>
      <c r="AH46" s="2767"/>
      <c r="AI46" s="2767"/>
      <c r="AJ46" s="2767"/>
      <c r="AK46" s="2767"/>
      <c r="AL46" s="2768"/>
      <c r="AM46" s="1176" t="s">
        <v>404</v>
      </c>
      <c r="AO46" s="435"/>
      <c r="AP46" s="435" t="str">
        <f t="shared" si="1"/>
        <v xml:space="preserve">Источник тепловой энергии  </v>
      </c>
      <c r="AQ46" s="435"/>
      <c r="AR46" s="435"/>
      <c r="AS46" s="1073">
        <v>21</v>
      </c>
    </row>
    <row r="47" spans="1:45" s="2520" customFormat="1" ht="0" hidden="1" customHeight="1">
      <c r="A47" s="1261" t="s">
        <v>172</v>
      </c>
      <c r="B47" s="1261" t="s">
        <v>173</v>
      </c>
      <c r="C47" s="1261" t="s">
        <v>174</v>
      </c>
      <c r="D47" s="1261" t="s">
        <v>175</v>
      </c>
      <c r="E47" s="2779"/>
      <c r="F47" s="2779"/>
      <c r="G47" s="2779"/>
      <c r="H47" s="2779"/>
      <c r="I47" s="2776" t="str">
        <f>S46&amp;".1"</f>
        <v>....1</v>
      </c>
      <c r="J47" s="1261"/>
      <c r="K47" s="1261"/>
      <c r="L47" s="1264" t="s">
        <v>405</v>
      </c>
      <c r="M47" s="445"/>
      <c r="N47" s="445"/>
      <c r="O47" s="445"/>
      <c r="P47" s="2777">
        <v>1</v>
      </c>
      <c r="Q47" s="1249"/>
      <c r="R47" s="291"/>
      <c r="S47" s="964"/>
      <c r="T47" s="1301"/>
      <c r="U47" s="1302"/>
      <c r="V47" s="2795"/>
      <c r="W47" s="2796"/>
      <c r="X47" s="2796"/>
      <c r="Y47" s="2796"/>
      <c r="Z47" s="2796"/>
      <c r="AA47" s="2796"/>
      <c r="AB47" s="2796"/>
      <c r="AC47" s="2797"/>
      <c r="AD47" s="2795"/>
      <c r="AE47" s="2796"/>
      <c r="AF47" s="2796"/>
      <c r="AG47" s="2796"/>
      <c r="AH47" s="2796"/>
      <c r="AI47" s="2796"/>
      <c r="AJ47" s="2796"/>
      <c r="AK47" s="2796"/>
      <c r="AL47" s="2797"/>
      <c r="AM47" s="1303"/>
      <c r="AO47" s="435"/>
      <c r="AP47" s="435" t="str">
        <f t="shared" si="1"/>
        <v/>
      </c>
      <c r="AQ47" s="435"/>
      <c r="AR47" s="435"/>
      <c r="AS47" s="446">
        <v>0</v>
      </c>
    </row>
    <row r="48" spans="1:45" ht="21.95" customHeight="1">
      <c r="A48" s="1281" t="s">
        <v>172</v>
      </c>
      <c r="B48" s="1281" t="s">
        <v>173</v>
      </c>
      <c r="C48" s="1281" t="s">
        <v>174</v>
      </c>
      <c r="D48" s="1281" t="s">
        <v>175</v>
      </c>
      <c r="E48" s="2779"/>
      <c r="F48" s="2779"/>
      <c r="G48" s="2779"/>
      <c r="H48" s="2779"/>
      <c r="I48" s="2787"/>
      <c r="J48" s="2776" t="str">
        <f>S46&amp;".1"</f>
        <v>....1</v>
      </c>
      <c r="K48" s="1281"/>
      <c r="L48" s="1282" t="s">
        <v>408</v>
      </c>
      <c r="P48" s="2777"/>
      <c r="Q48" s="2777">
        <v>1</v>
      </c>
      <c r="R48" s="292"/>
      <c r="S48" s="1254" t="str">
        <f>$J48</f>
        <v>....1</v>
      </c>
      <c r="T48" s="222" t="s">
        <v>409</v>
      </c>
      <c r="U48" s="236"/>
      <c r="V48" s="2769"/>
      <c r="W48" s="2770"/>
      <c r="X48" s="2770"/>
      <c r="Y48" s="2770"/>
      <c r="Z48" s="2770"/>
      <c r="AA48" s="2770"/>
      <c r="AB48" s="2770"/>
      <c r="AC48" s="2771"/>
      <c r="AD48" s="2769"/>
      <c r="AE48" s="2770"/>
      <c r="AF48" s="2770"/>
      <c r="AG48" s="2770"/>
      <c r="AH48" s="2770"/>
      <c r="AI48" s="2770"/>
      <c r="AJ48" s="2770"/>
      <c r="AK48" s="2770"/>
      <c r="AL48" s="2771"/>
      <c r="AM48" s="1176" t="s">
        <v>410</v>
      </c>
      <c r="AO48" s="435"/>
      <c r="AP48" s="435" t="str">
        <f t="shared" si="1"/>
        <v>Группа потребителей</v>
      </c>
      <c r="AQ48" s="435"/>
      <c r="AR48" s="435"/>
      <c r="AS48" s="1073">
        <v>21</v>
      </c>
    </row>
    <row r="49" spans="1:45" ht="21.95" customHeight="1">
      <c r="A49" s="1281" t="s">
        <v>172</v>
      </c>
      <c r="B49" s="1281" t="s">
        <v>173</v>
      </c>
      <c r="C49" s="1281" t="s">
        <v>174</v>
      </c>
      <c r="D49" s="1281" t="s">
        <v>175</v>
      </c>
      <c r="E49" s="2779"/>
      <c r="F49" s="2779"/>
      <c r="G49" s="2779"/>
      <c r="H49" s="2779"/>
      <c r="I49" s="2787"/>
      <c r="J49" s="2787"/>
      <c r="K49" s="2776" t="str">
        <f>J48&amp;".1"</f>
        <v>....1.1</v>
      </c>
      <c r="L49" s="1282" t="s">
        <v>411</v>
      </c>
      <c r="P49" s="2777"/>
      <c r="Q49" s="2777"/>
      <c r="R49" s="292">
        <v>1</v>
      </c>
      <c r="S49" s="1254" t="str">
        <f>$K49</f>
        <v>....1.1</v>
      </c>
      <c r="T49" s="1265"/>
      <c r="U49" s="236"/>
      <c r="V49" s="686"/>
      <c r="W49" s="261"/>
      <c r="X49" s="686"/>
      <c r="Y49" s="1175"/>
      <c r="Z49" s="2753"/>
      <c r="AA49" s="2619" t="s">
        <v>66</v>
      </c>
      <c r="AB49" s="2753"/>
      <c r="AC49" s="2619" t="s">
        <v>66</v>
      </c>
      <c r="AD49" s="686"/>
      <c r="AE49" s="261"/>
      <c r="AF49" s="686"/>
      <c r="AG49" s="1175"/>
      <c r="AH49" s="2753"/>
      <c r="AI49" s="2619" t="s">
        <v>66</v>
      </c>
      <c r="AJ49" s="2788"/>
      <c r="AK49" s="2619" t="s">
        <v>66</v>
      </c>
      <c r="AL49" s="1266"/>
      <c r="AM49" s="2773" t="s">
        <v>453</v>
      </c>
      <c r="AN49" s="446" t="e">
        <f ca="1">STRCHECKDATE(V50:AL50)</f>
        <v>#NAME?</v>
      </c>
      <c r="AO49" s="435"/>
      <c r="AP49" s="435" t="str">
        <f t="shared" si="1"/>
        <v/>
      </c>
      <c r="AQ49" s="435"/>
      <c r="AR49" s="435"/>
      <c r="AS49" s="1073">
        <v>21</v>
      </c>
    </row>
    <row r="50" spans="1:45" ht="1.1499999999999999" customHeight="1">
      <c r="A50" s="1281" t="s">
        <v>172</v>
      </c>
      <c r="B50" s="1281" t="s">
        <v>173</v>
      </c>
      <c r="C50" s="1281" t="s">
        <v>174</v>
      </c>
      <c r="D50" s="1281" t="s">
        <v>175</v>
      </c>
      <c r="E50" s="2779"/>
      <c r="F50" s="2779"/>
      <c r="G50" s="2779"/>
      <c r="H50" s="2779"/>
      <c r="I50" s="2787"/>
      <c r="J50" s="2787"/>
      <c r="K50" s="2776"/>
      <c r="L50" s="1282"/>
      <c r="P50" s="2777"/>
      <c r="Q50" s="2777"/>
      <c r="R50" s="292"/>
      <c r="S50" s="1260"/>
      <c r="T50" s="236"/>
      <c r="U50" s="236"/>
      <c r="V50" s="261"/>
      <c r="W50" s="261"/>
      <c r="X50" s="261"/>
      <c r="Y50" s="264" t="str">
        <f>Z49&amp;"-"&amp;AB49</f>
        <v>-</v>
      </c>
      <c r="Z50" s="2752"/>
      <c r="AA50" s="2619"/>
      <c r="AB50" s="2752"/>
      <c r="AC50" s="2619"/>
      <c r="AD50" s="261"/>
      <c r="AE50" s="261"/>
      <c r="AF50" s="261"/>
      <c r="AG50" s="264" t="str">
        <f>AH49&amp;"-"&amp;AJ49</f>
        <v>-</v>
      </c>
      <c r="AH50" s="2752"/>
      <c r="AI50" s="2619"/>
      <c r="AJ50" s="2789"/>
      <c r="AK50" s="2619"/>
      <c r="AL50" s="1267"/>
      <c r="AM50" s="2774"/>
      <c r="AO50" s="435"/>
      <c r="AP50" s="435" t="str">
        <f t="shared" si="1"/>
        <v/>
      </c>
      <c r="AQ50" s="435"/>
      <c r="AR50" s="435"/>
      <c r="AS50" s="1073">
        <v>1</v>
      </c>
    </row>
    <row r="51" spans="1:45" ht="11.45" customHeight="1">
      <c r="A51" s="1281" t="s">
        <v>172</v>
      </c>
      <c r="B51" s="1281" t="s">
        <v>173</v>
      </c>
      <c r="C51" s="1281" t="s">
        <v>174</v>
      </c>
      <c r="D51" s="1281" t="s">
        <v>175</v>
      </c>
      <c r="E51" s="2779"/>
      <c r="F51" s="2779"/>
      <c r="G51" s="2779"/>
      <c r="H51" s="2779"/>
      <c r="I51" s="2787"/>
      <c r="J51" s="2776"/>
      <c r="K51" s="1281"/>
      <c r="L51" s="1282"/>
      <c r="P51" s="2777"/>
      <c r="Q51" s="2777"/>
      <c r="R51" s="291"/>
      <c r="S51" s="1196"/>
      <c r="T51" s="223" t="s">
        <v>413</v>
      </c>
      <c r="U51" s="302"/>
      <c r="V51" s="302"/>
      <c r="W51" s="302"/>
      <c r="X51" s="302"/>
      <c r="Y51" s="302"/>
      <c r="Z51" s="302"/>
      <c r="AA51" s="302"/>
      <c r="AB51" s="302"/>
      <c r="AC51" s="302"/>
      <c r="AD51" s="302"/>
      <c r="AE51" s="302"/>
      <c r="AF51" s="302"/>
      <c r="AG51" s="302"/>
      <c r="AH51" s="302"/>
      <c r="AI51" s="302"/>
      <c r="AJ51" s="302"/>
      <c r="AK51" s="302"/>
      <c r="AL51" s="260"/>
      <c r="AM51" s="2775"/>
      <c r="AO51" s="435"/>
      <c r="AP51" s="435" t="str">
        <f t="shared" si="1"/>
        <v>Добавить вид теплоносителя (параметры теплоносителя)</v>
      </c>
      <c r="AQ51" s="435"/>
      <c r="AR51" s="435"/>
      <c r="AS51" s="1073">
        <v>11</v>
      </c>
    </row>
    <row r="52" spans="1:45" ht="11.45" customHeight="1">
      <c r="A52" s="1281" t="s">
        <v>172</v>
      </c>
      <c r="B52" s="1281" t="s">
        <v>173</v>
      </c>
      <c r="C52" s="1281" t="s">
        <v>174</v>
      </c>
      <c r="D52" s="1281" t="s">
        <v>175</v>
      </c>
      <c r="E52" s="2779"/>
      <c r="F52" s="2779"/>
      <c r="G52" s="2779"/>
      <c r="H52" s="2779"/>
      <c r="I52" s="2776"/>
      <c r="J52" s="1281"/>
      <c r="K52" s="1281"/>
      <c r="L52" s="1282"/>
      <c r="P52" s="2777"/>
      <c r="Q52" s="1249"/>
      <c r="R52" s="291"/>
      <c r="S52" s="1196"/>
      <c r="T52" s="300" t="s">
        <v>414</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172</v>
      </c>
      <c r="B53" s="1281" t="s">
        <v>173</v>
      </c>
      <c r="C53" s="1281" t="s">
        <v>174</v>
      </c>
      <c r="D53" s="1281" t="s">
        <v>175</v>
      </c>
      <c r="E53" s="2779"/>
      <c r="F53" s="2779"/>
      <c r="G53" s="2779"/>
      <c r="H53" s="2778"/>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520" customFormat="1" ht="1.1499999999999999" customHeight="1">
      <c r="A54" s="1261" t="s">
        <v>172</v>
      </c>
      <c r="B54" s="1261" t="s">
        <v>173</v>
      </c>
      <c r="C54" s="1261" t="s">
        <v>174</v>
      </c>
      <c r="D54" s="1232"/>
      <c r="E54" s="2779"/>
      <c r="F54" s="2779"/>
      <c r="G54" s="2778"/>
      <c r="H54" s="1232"/>
      <c r="I54" s="1232"/>
      <c r="J54" s="1232"/>
      <c r="K54" s="1232"/>
      <c r="L54" s="1257"/>
      <c r="M54" s="1233"/>
      <c r="N54" s="1233"/>
      <c r="P54" s="1234"/>
      <c r="Q54" s="1235"/>
      <c r="R54" s="1234"/>
      <c r="S54" s="1240"/>
      <c r="T54" s="1243" t="s">
        <v>160</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520" customFormat="1" ht="1.1499999999999999" customHeight="1">
      <c r="A55" s="1261" t="s">
        <v>172</v>
      </c>
      <c r="B55" s="1261" t="s">
        <v>173</v>
      </c>
      <c r="C55" s="1232"/>
      <c r="D55" s="1232"/>
      <c r="E55" s="2779"/>
      <c r="F55" s="2778"/>
      <c r="G55" s="1232"/>
      <c r="H55" s="1232"/>
      <c r="I55" s="1232"/>
      <c r="J55" s="1232"/>
      <c r="K55" s="1232"/>
      <c r="L55" s="1257"/>
      <c r="M55" s="1239"/>
      <c r="N55" s="1239"/>
      <c r="P55" s="1234"/>
      <c r="Q55" s="1235"/>
      <c r="R55" s="1234"/>
      <c r="S55" s="1240"/>
      <c r="T55" s="1243" t="s">
        <v>161</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520" customFormat="1" ht="1.1499999999999999" customHeight="1">
      <c r="A56" s="1261" t="s">
        <v>172</v>
      </c>
      <c r="B56" s="1261"/>
      <c r="C56" s="1261"/>
      <c r="D56" s="1261"/>
      <c r="E56" s="2778"/>
      <c r="F56" s="1261"/>
      <c r="G56" s="1261"/>
      <c r="H56" s="1261"/>
      <c r="I56" s="1261"/>
      <c r="J56" s="1261"/>
      <c r="K56" s="1261"/>
      <c r="L56" s="1264"/>
      <c r="M56" s="1239"/>
      <c r="N56" s="1239"/>
      <c r="O56" s="453"/>
      <c r="P56" s="315"/>
      <c r="Q56" s="1262"/>
      <c r="R56" s="315"/>
      <c r="S56" s="1240"/>
      <c r="T56" s="1243" t="s">
        <v>162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520"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786"/>
      <c r="U59" s="2786"/>
      <c r="V59" s="2786"/>
      <c r="W59" s="2786"/>
      <c r="X59" s="2786"/>
      <c r="Y59" s="2786"/>
      <c r="Z59" s="2786"/>
      <c r="AA59" s="2786"/>
      <c r="AB59" s="2786"/>
      <c r="AC59" s="2786"/>
      <c r="AD59" s="2786"/>
      <c r="AE59" s="2786"/>
      <c r="AF59" s="2786"/>
      <c r="AG59" s="2786"/>
      <c r="AH59" s="2786"/>
      <c r="AI59" s="2786"/>
      <c r="AJ59" s="2786"/>
      <c r="AK59" s="2786"/>
      <c r="AL59" s="2786"/>
      <c r="AM59" s="2786"/>
      <c r="AS59" s="1073">
        <v>19</v>
      </c>
    </row>
    <row r="60" spans="1:45" ht="29.25" customHeight="1">
      <c r="O60" s="472"/>
      <c r="T60" s="2786"/>
      <c r="U60" s="2786"/>
      <c r="V60" s="2786"/>
      <c r="W60" s="2786"/>
      <c r="X60" s="2786"/>
      <c r="Y60" s="2786"/>
      <c r="Z60" s="2786"/>
      <c r="AA60" s="2786"/>
      <c r="AB60" s="2786"/>
      <c r="AC60" s="2786"/>
      <c r="AD60" s="2786"/>
      <c r="AE60" s="2786"/>
      <c r="AF60" s="2786"/>
      <c r="AG60" s="2786"/>
      <c r="AH60" s="2786"/>
      <c r="AI60" s="2786"/>
      <c r="AJ60" s="2786"/>
      <c r="AK60" s="2786"/>
      <c r="AL60" s="2786"/>
      <c r="AM60" s="2786"/>
      <c r="AS60" s="1073">
        <v>28</v>
      </c>
    </row>
    <row r="61" spans="1:45" ht="42" customHeight="1">
      <c r="O61" s="472"/>
      <c r="T61" s="2786"/>
      <c r="U61" s="2786"/>
      <c r="V61" s="2786"/>
      <c r="W61" s="2786"/>
      <c r="X61" s="2786"/>
      <c r="Y61" s="2786"/>
      <c r="Z61" s="2786"/>
      <c r="AA61" s="2786"/>
      <c r="AB61" s="2786"/>
      <c r="AC61" s="2786"/>
      <c r="AD61" s="2786"/>
      <c r="AE61" s="2786"/>
      <c r="AF61" s="2786"/>
      <c r="AG61" s="2786"/>
      <c r="AH61" s="2786"/>
      <c r="AI61" s="2786"/>
      <c r="AJ61" s="2786"/>
      <c r="AK61" s="2786"/>
      <c r="AL61" s="2786"/>
      <c r="AM61" s="2786"/>
      <c r="AS61" s="1073">
        <v>40</v>
      </c>
    </row>
    <row r="62" spans="1:45" ht="14.65" customHeight="1">
      <c r="O62" s="472"/>
      <c r="AS62" s="1073">
        <v>14</v>
      </c>
    </row>
    <row r="63" spans="1:45" ht="21" customHeight="1">
      <c r="O63" s="472"/>
      <c r="S63" s="1171"/>
      <c r="T63" s="2688"/>
      <c r="U63" s="2786"/>
      <c r="V63" s="2786"/>
      <c r="W63" s="2786"/>
      <c r="X63" s="2786"/>
      <c r="Y63" s="2786"/>
      <c r="Z63" s="2786"/>
      <c r="AA63" s="2786"/>
      <c r="AB63" s="2786"/>
      <c r="AC63" s="2786"/>
      <c r="AD63" s="2786"/>
      <c r="AE63" s="2786"/>
      <c r="AF63" s="2786"/>
      <c r="AG63" s="2786"/>
      <c r="AH63" s="2786"/>
      <c r="AI63" s="2786"/>
      <c r="AJ63" s="2786"/>
      <c r="AK63" s="2786"/>
      <c r="AL63" s="2786"/>
      <c r="AM63" s="2786"/>
      <c r="AS63" s="1073">
        <v>20</v>
      </c>
    </row>
    <row r="64" spans="1:45" ht="29.25" customHeight="1">
      <c r="O64" s="472"/>
      <c r="T64" s="2786"/>
      <c r="U64" s="2786"/>
      <c r="V64" s="2786"/>
      <c r="W64" s="2786"/>
      <c r="X64" s="2786"/>
      <c r="Y64" s="2786"/>
      <c r="Z64" s="2786"/>
      <c r="AA64" s="2786"/>
      <c r="AB64" s="2786"/>
      <c r="AC64" s="2786"/>
      <c r="AD64" s="2786"/>
      <c r="AE64" s="2786"/>
      <c r="AF64" s="2786"/>
      <c r="AG64" s="2786"/>
      <c r="AH64" s="2786"/>
      <c r="AI64" s="2786"/>
      <c r="AJ64" s="2786"/>
      <c r="AK64" s="2786"/>
      <c r="AL64" s="2786"/>
      <c r="AM64" s="2786"/>
      <c r="AS64" s="1073">
        <v>28</v>
      </c>
    </row>
    <row r="65" spans="1:45" ht="35.65" customHeight="1">
      <c r="T65" s="2786"/>
      <c r="U65" s="2786"/>
      <c r="V65" s="2786"/>
      <c r="W65" s="2786"/>
      <c r="X65" s="2786"/>
      <c r="Y65" s="2786"/>
      <c r="Z65" s="2786"/>
      <c r="AA65" s="2786"/>
      <c r="AB65" s="2786"/>
      <c r="AC65" s="2786"/>
      <c r="AD65" s="2786"/>
      <c r="AE65" s="2786"/>
      <c r="AF65" s="2786"/>
      <c r="AG65" s="2786"/>
      <c r="AH65" s="2786"/>
      <c r="AI65" s="2786"/>
      <c r="AJ65" s="2786"/>
      <c r="AK65" s="2786"/>
      <c r="AL65" s="2786"/>
      <c r="AM65" s="2786"/>
      <c r="AS65" s="1073">
        <v>34</v>
      </c>
    </row>
    <row r="66" spans="1:45" ht="22.5" hidden="1" customHeight="1">
      <c r="A66" s="1078" t="s">
        <v>81</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519" hidden="1"/>
    <col min="2" max="2" width="11" style="2519" hidden="1" customWidth="1"/>
    <col min="3" max="3" width="10.5703125" style="2519" hidden="1"/>
    <col min="4" max="4" width="11.85546875" style="2519" hidden="1" customWidth="1"/>
    <col min="5" max="5" width="10" style="2519" hidden="1" customWidth="1"/>
    <col min="6" max="6" width="8.7109375" style="2519" hidden="1" customWidth="1"/>
    <col min="7" max="7" width="7.5703125" style="2519" hidden="1" customWidth="1"/>
    <col min="8" max="8" width="11.42578125" style="2519" hidden="1" customWidth="1"/>
    <col min="9" max="9" width="12" style="2519" hidden="1" customWidth="1"/>
    <col min="10" max="10" width="9.85546875" style="2519" hidden="1" customWidth="1"/>
    <col min="11" max="11" width="11.42578125" style="2519" hidden="1" customWidth="1"/>
    <col min="12" max="12" width="19.140625" style="2545" hidden="1" customWidth="1"/>
    <col min="13" max="14" width="12.28515625" style="2546" hidden="1" customWidth="1"/>
    <col min="15" max="15" width="23.42578125" style="2546" hidden="1" customWidth="1"/>
    <col min="16" max="16" width="3.7109375" style="2547" hidden="1" customWidth="1"/>
    <col min="17" max="18" width="3" style="2548" customWidth="1"/>
    <col min="19" max="19" width="12" style="2549" customWidth="1"/>
    <col min="20" max="20" width="31" style="2513" customWidth="1"/>
    <col min="21" max="21" width="0.140625" style="2513" customWidth="1"/>
    <col min="22" max="22" width="24.7109375" style="2513" hidden="1" customWidth="1"/>
    <col min="23" max="23" width="0.140625" style="2513" hidden="1" customWidth="1"/>
    <col min="24" max="25" width="24.7109375" style="2513" hidden="1" customWidth="1"/>
    <col min="26" max="26" width="11.7109375" style="2513" hidden="1" customWidth="1"/>
    <col min="27" max="27" width="3.7109375" style="2513" hidden="1" customWidth="1"/>
    <col min="28" max="28" width="11.7109375" style="2513" hidden="1" customWidth="1"/>
    <col min="29" max="29" width="8.5703125" style="2513" hidden="1" customWidth="1"/>
    <col min="30" max="30" width="24.7109375" style="2513" customWidth="1"/>
    <col min="31" max="31" width="0.140625" style="2513" customWidth="1"/>
    <col min="32" max="33" width="24" style="2513" customWidth="1"/>
    <col min="34" max="34" width="11" style="2513" customWidth="1"/>
    <col min="35" max="35" width="3.7109375" style="2513" customWidth="1"/>
    <col min="36" max="36" width="11" style="2513" customWidth="1"/>
    <col min="37" max="37" width="8.5703125" style="2513" hidden="1" customWidth="1"/>
    <col min="38" max="38" width="4" style="2513" customWidth="1"/>
    <col min="39" max="39" width="115" style="2513" customWidth="1"/>
    <col min="40" max="44" width="10" style="2520" customWidth="1"/>
    <col min="45" max="45" width="10.5703125" style="2513" hidden="1"/>
  </cols>
  <sheetData>
    <row r="1" spans="1:45" ht="22.5" hidden="1" customHeight="1">
      <c r="A1" s="1786"/>
      <c r="Y1" s="263"/>
      <c r="Z1" s="263"/>
      <c r="AG1" s="263"/>
      <c r="AH1" s="263"/>
      <c r="AS1" s="1073" t="s">
        <v>14</v>
      </c>
    </row>
    <row r="2" spans="1:45" ht="21" hidden="1" customHeight="1">
      <c r="A2" s="1281"/>
      <c r="B2" s="1281"/>
      <c r="C2" s="1281"/>
      <c r="D2" s="1281"/>
      <c r="E2" s="2778">
        <v>1</v>
      </c>
      <c r="F2" s="1281"/>
      <c r="G2" s="1281"/>
      <c r="H2" s="1281"/>
      <c r="I2" s="1281"/>
      <c r="J2" s="1281"/>
      <c r="K2" s="1281"/>
      <c r="L2" s="1282"/>
      <c r="M2" s="1283"/>
      <c r="N2" s="1283"/>
      <c r="O2" s="1283"/>
      <c r="P2" s="296"/>
      <c r="Q2" s="295"/>
      <c r="R2" s="290"/>
      <c r="S2" s="1254" t="e">
        <f>INDEX(PT_DIFFERENTIATION_NUM_NTAR,MATCH(A2,PT_DIFFERENTIATION_NTAR_ID,0))</f>
        <v>#N/A</v>
      </c>
      <c r="T2" s="234" t="s">
        <v>122</v>
      </c>
      <c r="U2" s="236"/>
      <c r="V2" s="2766"/>
      <c r="W2" s="2767"/>
      <c r="X2" s="2767"/>
      <c r="Y2" s="2767"/>
      <c r="Z2" s="2767"/>
      <c r="AA2" s="2767"/>
      <c r="AB2" s="2767"/>
      <c r="AC2" s="2768"/>
      <c r="AD2" s="2766" t="e">
        <f>INDEX(PT_DIFFERENTIATION_NTAR,MATCH(A2,PT_DIFFERENTIATION_NTAR_ID,0))</f>
        <v>#N/A</v>
      </c>
      <c r="AE2" s="2767"/>
      <c r="AF2" s="2767"/>
      <c r="AG2" s="2767"/>
      <c r="AH2" s="2767"/>
      <c r="AI2" s="2767"/>
      <c r="AJ2" s="2767"/>
      <c r="AK2" s="2767"/>
      <c r="AL2" s="2768"/>
      <c r="AM2" s="1176" t="s">
        <v>398</v>
      </c>
      <c r="AO2" s="435"/>
      <c r="AP2" s="435" t="str">
        <f t="shared" ref="AP2:AP15" si="0">IF(T2="","",T2)</f>
        <v>Наименование тарифа</v>
      </c>
      <c r="AQ2" s="435"/>
      <c r="AR2" s="435"/>
      <c r="AS2" s="1073">
        <v>0</v>
      </c>
    </row>
    <row r="3" spans="1:45" ht="21" hidden="1" customHeight="1">
      <c r="A3" s="1281"/>
      <c r="B3" s="1281"/>
      <c r="C3" s="1281"/>
      <c r="D3" s="1281"/>
      <c r="E3" s="2779"/>
      <c r="F3" s="2778">
        <v>1</v>
      </c>
      <c r="G3" s="1281"/>
      <c r="H3" s="1281"/>
      <c r="I3" s="1281"/>
      <c r="J3" s="1281"/>
      <c r="K3" s="1281"/>
      <c r="L3" s="1282"/>
      <c r="M3" s="1283"/>
      <c r="N3" s="1283"/>
      <c r="O3" s="1283"/>
      <c r="P3" s="1250"/>
      <c r="Q3" s="287"/>
      <c r="R3" s="288"/>
      <c r="S3" s="1254" t="e">
        <f>INDEX(PT_DIFFERENTIATION_NUM_TER,MATCH(B3,PT_DIFFERENTIATION_TER_ID,0))</f>
        <v>#N/A</v>
      </c>
      <c r="T3" s="244" t="s">
        <v>399</v>
      </c>
      <c r="U3" s="236"/>
      <c r="V3" s="2766"/>
      <c r="W3" s="2767"/>
      <c r="X3" s="2767"/>
      <c r="Y3" s="2767"/>
      <c r="Z3" s="2767"/>
      <c r="AA3" s="2767"/>
      <c r="AB3" s="2767"/>
      <c r="AC3" s="2768"/>
      <c r="AD3" s="2766" t="e">
        <f>INDEX(PT_DIFFERENTIATION_TER,MATCH(B3,PT_DIFFERENTIATION_TER_ID,0))</f>
        <v>#N/A</v>
      </c>
      <c r="AE3" s="2767"/>
      <c r="AF3" s="2767"/>
      <c r="AG3" s="2767"/>
      <c r="AH3" s="2767"/>
      <c r="AI3" s="2767"/>
      <c r="AJ3" s="2767"/>
      <c r="AK3" s="2767"/>
      <c r="AL3" s="2768"/>
      <c r="AM3" s="1176" t="s">
        <v>400</v>
      </c>
      <c r="AO3" s="435"/>
      <c r="AP3" s="435" t="str">
        <f t="shared" si="0"/>
        <v>Территория действия тарифа</v>
      </c>
      <c r="AQ3" s="435"/>
      <c r="AR3" s="435"/>
      <c r="AS3" s="1073">
        <v>0</v>
      </c>
    </row>
    <row r="4" spans="1:45" ht="23.25" hidden="1" customHeight="1">
      <c r="A4" s="1281"/>
      <c r="B4" s="1281"/>
      <c r="C4" s="1281"/>
      <c r="D4" s="1281"/>
      <c r="E4" s="2779"/>
      <c r="F4" s="2779"/>
      <c r="G4" s="2778">
        <v>1</v>
      </c>
      <c r="H4" s="1281"/>
      <c r="I4" s="1281"/>
      <c r="J4" s="1281"/>
      <c r="K4" s="1281"/>
      <c r="L4" s="1282"/>
      <c r="M4" s="1283"/>
      <c r="N4" s="1283"/>
      <c r="O4" s="1283"/>
      <c r="P4" s="289"/>
      <c r="Q4" s="287"/>
      <c r="R4" s="288"/>
      <c r="S4" s="1920" t="e">
        <f>INDEX(PT_DIFFERENTIATION_NUM_CS,MATCH(C4,PT_DIFFERENTIATION_CS_ID,0))</f>
        <v>#N/A</v>
      </c>
      <c r="T4" s="1924" t="s">
        <v>401</v>
      </c>
      <c r="U4" s="1925"/>
      <c r="V4" s="2798"/>
      <c r="W4" s="2799"/>
      <c r="X4" s="2799"/>
      <c r="Y4" s="2799"/>
      <c r="Z4" s="2799"/>
      <c r="AA4" s="2799"/>
      <c r="AB4" s="2799"/>
      <c r="AC4" s="2800"/>
      <c r="AD4" s="2798" t="e">
        <f>INDEX(PT_DIFFERENTIATION_CS,MATCH(C4,PT_DIFFERENTIATION_CS_ID,0))</f>
        <v>#N/A</v>
      </c>
      <c r="AE4" s="2799"/>
      <c r="AF4" s="2799"/>
      <c r="AG4" s="2799"/>
      <c r="AH4" s="2799"/>
      <c r="AI4" s="2799"/>
      <c r="AJ4" s="2799"/>
      <c r="AK4" s="2799"/>
      <c r="AL4" s="2800"/>
      <c r="AM4" s="1176" t="s">
        <v>402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779"/>
      <c r="F5" s="2779"/>
      <c r="G5" s="2779"/>
      <c r="H5" s="2778">
        <v>1</v>
      </c>
      <c r="I5" s="1281"/>
      <c r="J5" s="1281"/>
      <c r="K5" s="1281"/>
      <c r="L5" s="1282"/>
      <c r="M5" s="1283"/>
      <c r="N5" s="1283"/>
      <c r="O5" s="1283"/>
      <c r="P5" s="289"/>
      <c r="Q5" s="287"/>
      <c r="R5" s="1553"/>
      <c r="S5" s="1919" t="e">
        <f>INDEX(PT_DIFFERENTIATION_NUM_IST_TE,MATCH(D5,PT_DIFFERENTIATION_IST_TE_ID,0))</f>
        <v>#N/A</v>
      </c>
      <c r="T5" s="246" t="s">
        <v>403</v>
      </c>
      <c r="U5" s="236"/>
      <c r="V5" s="2801"/>
      <c r="W5" s="2801"/>
      <c r="X5" s="2801"/>
      <c r="Y5" s="2801"/>
      <c r="Z5" s="2801"/>
      <c r="AA5" s="2801"/>
      <c r="AB5" s="2801"/>
      <c r="AC5" s="2801"/>
      <c r="AD5" s="2801" t="e">
        <f>INDEX(PT_DIFFERENTIATION_IST_TE,MATCH(D5,PT_DIFFERENTIATION_IST_TE_ID,0))</f>
        <v>#N/A</v>
      </c>
      <c r="AE5" s="2801"/>
      <c r="AF5" s="2801"/>
      <c r="AG5" s="2801"/>
      <c r="AH5" s="2801"/>
      <c r="AI5" s="2801"/>
      <c r="AJ5" s="2801"/>
      <c r="AK5" s="2801"/>
      <c r="AL5" s="2801"/>
      <c r="AM5" s="1922" t="s">
        <v>404</v>
      </c>
      <c r="AO5" s="435"/>
      <c r="AP5" s="435" t="str">
        <f t="shared" si="0"/>
        <v xml:space="preserve">Источник тепловой энергии  </v>
      </c>
      <c r="AQ5" s="435"/>
      <c r="AR5" s="435"/>
      <c r="AS5" s="1073">
        <v>0</v>
      </c>
    </row>
    <row r="6" spans="1:45" ht="0.75" hidden="1" customHeight="1">
      <c r="A6" s="1281"/>
      <c r="B6" s="1281"/>
      <c r="C6" s="1281"/>
      <c r="D6" s="1281"/>
      <c r="E6" s="2779"/>
      <c r="F6" s="2779"/>
      <c r="G6" s="2779"/>
      <c r="H6" s="2779"/>
      <c r="I6" s="2776" t="e">
        <f>S5&amp;".1"</f>
        <v>#N/A</v>
      </c>
      <c r="J6" s="1281"/>
      <c r="K6" s="1281"/>
      <c r="L6" s="1282" t="s">
        <v>405</v>
      </c>
      <c r="M6" s="472"/>
      <c r="P6" s="2777">
        <v>1</v>
      </c>
      <c r="Q6" s="1249"/>
      <c r="R6" s="1918"/>
      <c r="S6" s="964"/>
      <c r="T6" s="1301"/>
      <c r="U6" s="1302"/>
      <c r="V6" s="2802"/>
      <c r="W6" s="2802"/>
      <c r="X6" s="2802"/>
      <c r="Y6" s="2802"/>
      <c r="Z6" s="2802"/>
      <c r="AA6" s="2802"/>
      <c r="AB6" s="2802"/>
      <c r="AC6" s="2802"/>
      <c r="AD6" s="2802"/>
      <c r="AE6" s="2802"/>
      <c r="AF6" s="2802"/>
      <c r="AG6" s="2802"/>
      <c r="AH6" s="2802"/>
      <c r="AI6" s="2802"/>
      <c r="AJ6" s="2802"/>
      <c r="AK6" s="2802"/>
      <c r="AL6" s="2802"/>
      <c r="AM6" s="1923"/>
      <c r="AO6" s="435"/>
      <c r="AP6" s="435" t="str">
        <f t="shared" si="0"/>
        <v/>
      </c>
      <c r="AQ6" s="435"/>
      <c r="AR6" s="435"/>
      <c r="AS6" s="1073">
        <v>0</v>
      </c>
    </row>
    <row r="7" spans="1:45" ht="84" hidden="1" customHeight="1">
      <c r="A7" s="1281"/>
      <c r="B7" s="1281"/>
      <c r="C7" s="1281"/>
      <c r="D7" s="1281"/>
      <c r="E7" s="2779"/>
      <c r="F7" s="2779"/>
      <c r="G7" s="2779"/>
      <c r="H7" s="2779"/>
      <c r="I7" s="2787"/>
      <c r="J7" s="2776" t="e">
        <f>I6&amp;".1"</f>
        <v>#N/A</v>
      </c>
      <c r="K7" s="1281"/>
      <c r="L7" s="1282" t="s">
        <v>408</v>
      </c>
      <c r="M7" s="472"/>
      <c r="N7" s="1284"/>
      <c r="P7" s="2777"/>
      <c r="Q7" s="2777">
        <v>1</v>
      </c>
      <c r="R7" s="1560"/>
      <c r="S7" s="1919" t="e">
        <f>$J7</f>
        <v>#N/A</v>
      </c>
      <c r="T7" s="222" t="s">
        <v>409</v>
      </c>
      <c r="U7" s="236"/>
      <c r="V7" s="2803"/>
      <c r="W7" s="2803"/>
      <c r="X7" s="2803"/>
      <c r="Y7" s="2803"/>
      <c r="Z7" s="2803"/>
      <c r="AA7" s="2803"/>
      <c r="AB7" s="2803"/>
      <c r="AC7" s="2803"/>
      <c r="AD7" s="2803"/>
      <c r="AE7" s="2803"/>
      <c r="AF7" s="2803"/>
      <c r="AG7" s="2803"/>
      <c r="AH7" s="2803"/>
      <c r="AI7" s="2803"/>
      <c r="AJ7" s="2803"/>
      <c r="AK7" s="2803"/>
      <c r="AL7" s="2803"/>
      <c r="AM7" s="1922" t="s">
        <v>410</v>
      </c>
      <c r="AO7" s="435"/>
      <c r="AP7" s="435" t="str">
        <f t="shared" si="0"/>
        <v>Группа потребителей</v>
      </c>
      <c r="AQ7" s="435"/>
      <c r="AR7" s="435"/>
      <c r="AS7" s="1073">
        <v>0</v>
      </c>
    </row>
    <row r="8" spans="1:45" ht="11.25" hidden="1" customHeight="1">
      <c r="A8" s="1281"/>
      <c r="B8" s="1281"/>
      <c r="C8" s="1281"/>
      <c r="D8" s="1281"/>
      <c r="E8" s="2779"/>
      <c r="F8" s="2779"/>
      <c r="G8" s="2779"/>
      <c r="H8" s="2779"/>
      <c r="I8" s="2787"/>
      <c r="J8" s="2787"/>
      <c r="K8" s="2776" t="e">
        <f>J7&amp;".1"</f>
        <v>#N/A</v>
      </c>
      <c r="L8" s="1282" t="s">
        <v>411</v>
      </c>
      <c r="M8" s="472"/>
      <c r="N8" s="1284"/>
      <c r="O8" s="1284"/>
      <c r="P8" s="2777"/>
      <c r="Q8" s="2777"/>
      <c r="R8" s="292">
        <v>1</v>
      </c>
      <c r="S8" s="1921" t="e">
        <f>$K8</f>
        <v>#N/A</v>
      </c>
      <c r="T8" s="1926"/>
      <c r="U8" s="1927"/>
      <c r="V8" s="1928"/>
      <c r="W8" s="1267"/>
      <c r="X8" s="1928"/>
      <c r="Y8" s="1929"/>
      <c r="Z8" s="2804"/>
      <c r="AA8" s="2624" t="s">
        <v>66</v>
      </c>
      <c r="AB8" s="2804"/>
      <c r="AC8" s="2624" t="s">
        <v>66</v>
      </c>
      <c r="AD8" s="1928"/>
      <c r="AE8" s="1267"/>
      <c r="AF8" s="1928"/>
      <c r="AG8" s="1929"/>
      <c r="AH8" s="2804"/>
      <c r="AI8" s="2624" t="s">
        <v>66</v>
      </c>
      <c r="AJ8" s="2804"/>
      <c r="AK8" s="2624" t="s">
        <v>66</v>
      </c>
      <c r="AL8" s="1267"/>
      <c r="AM8" s="2773" t="s">
        <v>412</v>
      </c>
      <c r="AN8" s="446" t="e">
        <f ca="1">STRCHECKDATE(V9:AL9)</f>
        <v>#NAME?</v>
      </c>
      <c r="AO8" s="435"/>
      <c r="AP8" s="435" t="str">
        <f t="shared" si="0"/>
        <v/>
      </c>
      <c r="AQ8" s="435"/>
      <c r="AR8" s="435"/>
      <c r="AS8" s="1073">
        <v>0</v>
      </c>
    </row>
    <row r="9" spans="1:45" ht="0.75" hidden="1" customHeight="1">
      <c r="A9" s="1281"/>
      <c r="B9" s="1281"/>
      <c r="C9" s="1281"/>
      <c r="D9" s="1281"/>
      <c r="E9" s="2779"/>
      <c r="F9" s="2779"/>
      <c r="G9" s="2779"/>
      <c r="H9" s="2779"/>
      <c r="I9" s="2787"/>
      <c r="J9" s="2787"/>
      <c r="K9" s="2776"/>
      <c r="L9" s="1282"/>
      <c r="M9" s="472"/>
      <c r="N9" s="1284"/>
      <c r="O9" s="1284"/>
      <c r="P9" s="2777"/>
      <c r="Q9" s="2777"/>
      <c r="R9" s="292"/>
      <c r="S9" s="1260"/>
      <c r="T9" s="236"/>
      <c r="U9" s="236"/>
      <c r="V9" s="261"/>
      <c r="W9" s="261"/>
      <c r="X9" s="261"/>
      <c r="Y9" s="264" t="str">
        <f>Z8&amp;"-"&amp;AB8</f>
        <v>-</v>
      </c>
      <c r="Z9" s="2752"/>
      <c r="AA9" s="2619"/>
      <c r="AB9" s="2752"/>
      <c r="AC9" s="2619"/>
      <c r="AD9" s="261"/>
      <c r="AE9" s="261"/>
      <c r="AF9" s="261"/>
      <c r="AG9" s="264" t="str">
        <f>AH8&amp;"-"&amp;AJ8</f>
        <v>-</v>
      </c>
      <c r="AH9" s="2752"/>
      <c r="AI9" s="2619"/>
      <c r="AJ9" s="2752"/>
      <c r="AK9" s="2619"/>
      <c r="AL9" s="261"/>
      <c r="AM9" s="2774"/>
      <c r="AO9" s="435"/>
      <c r="AP9" s="435" t="str">
        <f t="shared" si="0"/>
        <v/>
      </c>
      <c r="AQ9" s="435"/>
      <c r="AR9" s="435"/>
      <c r="AS9" s="1073">
        <v>0</v>
      </c>
    </row>
    <row r="10" spans="1:45" ht="11.25" hidden="1" customHeight="1">
      <c r="A10" s="1281"/>
      <c r="B10" s="1281"/>
      <c r="C10" s="1281"/>
      <c r="D10" s="1281"/>
      <c r="E10" s="2779"/>
      <c r="F10" s="2779"/>
      <c r="G10" s="2779"/>
      <c r="H10" s="2779"/>
      <c r="I10" s="2787"/>
      <c r="J10" s="2776"/>
      <c r="K10" s="1281"/>
      <c r="L10" s="1282"/>
      <c r="M10" s="472"/>
      <c r="N10" s="1284"/>
      <c r="P10" s="2777"/>
      <c r="Q10" s="2777"/>
      <c r="R10" s="291"/>
      <c r="S10" s="1196"/>
      <c r="T10" s="223" t="s">
        <v>413</v>
      </c>
      <c r="U10" s="302"/>
      <c r="V10" s="302"/>
      <c r="W10" s="302"/>
      <c r="X10" s="302"/>
      <c r="Y10" s="302"/>
      <c r="Z10" s="302"/>
      <c r="AA10" s="302"/>
      <c r="AB10" s="302"/>
      <c r="AC10" s="302"/>
      <c r="AD10" s="302"/>
      <c r="AE10" s="302"/>
      <c r="AF10" s="302"/>
      <c r="AG10" s="302"/>
      <c r="AH10" s="302"/>
      <c r="AI10" s="302"/>
      <c r="AJ10" s="302"/>
      <c r="AK10" s="302"/>
      <c r="AL10" s="260"/>
      <c r="AM10" s="2775"/>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779"/>
      <c r="F11" s="2779"/>
      <c r="G11" s="2779"/>
      <c r="H11" s="2779"/>
      <c r="I11" s="2776"/>
      <c r="J11" s="1281"/>
      <c r="K11" s="1281"/>
      <c r="L11" s="1282"/>
      <c r="M11" s="472"/>
      <c r="P11" s="2777"/>
      <c r="Q11" s="1249"/>
      <c r="R11" s="291"/>
      <c r="S11" s="1196"/>
      <c r="T11" s="300" t="s">
        <v>414</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779"/>
      <c r="F12" s="2779"/>
      <c r="G12" s="2779"/>
      <c r="H12" s="2778"/>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520" customFormat="1" ht="0.75" hidden="1" customHeight="1">
      <c r="A13" s="1232"/>
      <c r="B13" s="1232"/>
      <c r="C13" s="1232"/>
      <c r="D13" s="1232"/>
      <c r="E13" s="2779"/>
      <c r="F13" s="2779"/>
      <c r="G13" s="2778"/>
      <c r="H13" s="1232"/>
      <c r="I13" s="1232"/>
      <c r="J13" s="1232"/>
      <c r="K13" s="1232"/>
      <c r="L13" s="1257"/>
      <c r="M13" s="1233"/>
      <c r="N13" s="1233"/>
      <c r="P13" s="1234"/>
      <c r="Q13" s="1235"/>
      <c r="R13" s="1234"/>
      <c r="S13" s="1236"/>
      <c r="T13" s="1237" t="s">
        <v>160</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520" customFormat="1" ht="0.75" hidden="1" customHeight="1">
      <c r="A14" s="1232"/>
      <c r="B14" s="1232"/>
      <c r="C14" s="1232"/>
      <c r="D14" s="1232"/>
      <c r="E14" s="2779"/>
      <c r="F14" s="2778"/>
      <c r="G14" s="1232"/>
      <c r="H14" s="1232"/>
      <c r="I14" s="1232"/>
      <c r="J14" s="1232"/>
      <c r="K14" s="1232"/>
      <c r="L14" s="1257"/>
      <c r="M14" s="1239"/>
      <c r="N14" s="1239"/>
      <c r="P14" s="1234"/>
      <c r="Q14" s="1235"/>
      <c r="R14" s="1234"/>
      <c r="S14" s="1240"/>
      <c r="T14" s="1241" t="s">
        <v>161</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520" customFormat="1" ht="0.75" hidden="1" customHeight="1">
      <c r="A15" s="1232"/>
      <c r="B15" s="1232"/>
      <c r="C15" s="1232"/>
      <c r="D15" s="1232"/>
      <c r="E15" s="2778"/>
      <c r="F15" s="1232"/>
      <c r="G15" s="1232"/>
      <c r="H15" s="1232"/>
      <c r="I15" s="1232"/>
      <c r="J15" s="1232"/>
      <c r="K15" s="1232"/>
      <c r="L15" s="1257"/>
      <c r="M15" s="1239"/>
      <c r="N15" s="1239"/>
      <c r="P15" s="1234"/>
      <c r="Q15" s="1235"/>
      <c r="R15" s="1234"/>
      <c r="S15" s="1240"/>
      <c r="T15" s="1243" t="s">
        <v>162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780"/>
      <c r="AI17" s="2781" t="s">
        <v>66</v>
      </c>
      <c r="AJ17" s="2780"/>
      <c r="AK17" s="2781" t="s">
        <v>66</v>
      </c>
      <c r="AS17" s="1073">
        <v>0</v>
      </c>
    </row>
    <row r="18" spans="1:45" ht="14.25" hidden="1" customHeight="1">
      <c r="AD18" s="1278"/>
      <c r="AE18" s="1278"/>
      <c r="AF18" s="1278"/>
      <c r="AG18" s="264" t="str">
        <f>AH17&amp;"-"&amp;AJ17</f>
        <v>-</v>
      </c>
      <c r="AH18" s="2781"/>
      <c r="AI18" s="2781"/>
      <c r="AJ18" s="2781"/>
      <c r="AK18" s="2781"/>
      <c r="AS18" s="1073">
        <v>0</v>
      </c>
    </row>
    <row r="19" spans="1:45" ht="14.25" hidden="1" customHeight="1">
      <c r="AK19" s="263"/>
      <c r="AS19" s="1073">
        <v>0</v>
      </c>
    </row>
    <row r="20" spans="1:45" s="2519"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51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519"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70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09"/>
      <c r="U26" s="2709"/>
      <c r="V26" s="2709"/>
      <c r="W26" s="2709"/>
      <c r="X26" s="2709"/>
      <c r="Y26" s="2709"/>
      <c r="Z26" s="2709"/>
      <c r="AA26" s="2709"/>
      <c r="AB26" s="2709"/>
      <c r="AC26" s="2709"/>
      <c r="AD26" s="2709"/>
      <c r="AE26" s="2709"/>
      <c r="AF26" s="2709"/>
      <c r="AG26" s="2709"/>
      <c r="AH26" s="2709"/>
      <c r="AI26" s="2709"/>
      <c r="AJ26" s="2709"/>
      <c r="AK26" s="1161"/>
      <c r="AS26" s="1073">
        <v>52</v>
      </c>
    </row>
    <row r="27" spans="1:45" ht="14.65" customHeight="1">
      <c r="Q27" s="311"/>
      <c r="R27" s="311"/>
      <c r="S27" s="2696" t="str">
        <f>IF(org=0,"Не определено",org)</f>
        <v>ООО "Ноябрьская ПГЭ"</v>
      </c>
      <c r="T27" s="2696"/>
      <c r="U27" s="2696"/>
      <c r="V27" s="2696"/>
      <c r="W27" s="2696"/>
      <c r="X27" s="2696"/>
      <c r="Y27" s="2696"/>
      <c r="Z27" s="2696"/>
      <c r="AA27" s="2696"/>
      <c r="AB27" s="2696"/>
      <c r="AC27" s="2696"/>
      <c r="AD27" s="2696"/>
      <c r="AE27" s="2696"/>
      <c r="AF27" s="2696"/>
      <c r="AG27" s="2696"/>
      <c r="AH27" s="2696"/>
      <c r="AI27" s="2696"/>
      <c r="AJ27" s="2696"/>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529" customFormat="1" ht="25.5" hidden="1" customHeight="1">
      <c r="A29" s="1286"/>
      <c r="B29" s="1286"/>
      <c r="C29" s="1286"/>
      <c r="D29" s="1286"/>
      <c r="E29" s="1286"/>
      <c r="F29" s="1286"/>
      <c r="G29" s="1286"/>
      <c r="H29" s="1286"/>
      <c r="I29" s="1286"/>
      <c r="J29" s="1286"/>
      <c r="K29" s="1286"/>
      <c r="L29" s="1287"/>
      <c r="M29" s="1286"/>
      <c r="N29" s="1286"/>
      <c r="O29" s="1286"/>
      <c r="S29" s="2772" t="s">
        <v>42</v>
      </c>
      <c r="T29" s="2772"/>
      <c r="U29" s="1290"/>
      <c r="V29" s="2754" t="str">
        <f>IF(TITLE_NAME_OR_PR_CHANGE="",IF(TITLE_NAME_OR_PR="","",TITLE_NAME_OR_PR),TITLE_NAME_OR_PR_CHANGE)</f>
        <v/>
      </c>
      <c r="W29" s="2754"/>
      <c r="X29" s="2754"/>
      <c r="Y29" s="2754"/>
      <c r="Z29" s="2754"/>
      <c r="AA29" s="2754"/>
      <c r="AB29" s="2754"/>
      <c r="AC29" s="262"/>
      <c r="AD29" s="2754" t="str">
        <f>IF(TITLE_NAME_OR_PR_CHANGE="",IF(TITLE_NAME_OR_PR="","",TITLE_NAME_OR_PR),TITLE_NAME_OR_PR_CHANGE)</f>
        <v/>
      </c>
      <c r="AE29" s="2754"/>
      <c r="AF29" s="2754"/>
      <c r="AG29" s="2754"/>
      <c r="AH29" s="2754"/>
      <c r="AI29" s="2754"/>
      <c r="AJ29" s="2754"/>
      <c r="AK29" s="262"/>
      <c r="AL29" s="262"/>
      <c r="AM29" s="216"/>
      <c r="AN29" s="303"/>
      <c r="AO29" s="303"/>
      <c r="AP29" s="303"/>
      <c r="AQ29" s="303"/>
      <c r="AR29" s="303"/>
      <c r="AS29" s="353">
        <v>0</v>
      </c>
    </row>
    <row r="30" spans="1:45" s="2529" customFormat="1" ht="18.75" hidden="1" customHeight="1">
      <c r="A30" s="1286"/>
      <c r="B30" s="1286"/>
      <c r="C30" s="1286"/>
      <c r="D30" s="1286"/>
      <c r="E30" s="1286"/>
      <c r="F30" s="1286"/>
      <c r="G30" s="1286"/>
      <c r="H30" s="1286"/>
      <c r="I30" s="1286"/>
      <c r="J30" s="1286"/>
      <c r="K30" s="1286"/>
      <c r="L30" s="1287"/>
      <c r="M30" s="1286"/>
      <c r="N30" s="1286"/>
      <c r="O30" s="1286"/>
      <c r="S30" s="2772" t="s">
        <v>422</v>
      </c>
      <c r="T30" s="2772"/>
      <c r="U30" s="1290"/>
      <c r="V30" s="2755">
        <f>IF(TITLE_DATE_PR_CHANGE="",IF(TITLE_DATE_PR="","",TITLE_DATE_PR),TITLE_DATE_PR_CHANGE)</f>
        <v>45583</v>
      </c>
      <c r="W30" s="2755"/>
      <c r="X30" s="2755"/>
      <c r="Y30" s="2755"/>
      <c r="Z30" s="2755"/>
      <c r="AA30" s="2755"/>
      <c r="AB30" s="2755"/>
      <c r="AC30" s="262"/>
      <c r="AD30" s="2755">
        <f>IF(TITLE_DATE_PR_CHANGE="",IF(TITLE_DATE_PR="","",TITLE_DATE_PR),TITLE_DATE_PR_CHANGE)</f>
        <v>45583</v>
      </c>
      <c r="AE30" s="2755"/>
      <c r="AF30" s="2755"/>
      <c r="AG30" s="2755"/>
      <c r="AH30" s="2755"/>
      <c r="AI30" s="2755"/>
      <c r="AJ30" s="2755"/>
      <c r="AK30" s="262"/>
      <c r="AL30" s="262"/>
      <c r="AM30" s="216"/>
      <c r="AN30" s="303"/>
      <c r="AO30" s="303"/>
      <c r="AP30" s="303"/>
      <c r="AQ30" s="303"/>
      <c r="AR30" s="303"/>
      <c r="AS30" s="353">
        <v>0</v>
      </c>
    </row>
    <row r="31" spans="1:45" s="2529" customFormat="1" ht="18.75" hidden="1" customHeight="1">
      <c r="A31" s="1286"/>
      <c r="B31" s="1286"/>
      <c r="C31" s="1286"/>
      <c r="D31" s="1286"/>
      <c r="E31" s="1286"/>
      <c r="F31" s="1286"/>
      <c r="G31" s="1286"/>
      <c r="H31" s="1286"/>
      <c r="I31" s="1286"/>
      <c r="J31" s="1286"/>
      <c r="K31" s="1286"/>
      <c r="L31" s="1287"/>
      <c r="M31" s="1286"/>
      <c r="N31" s="1286"/>
      <c r="O31" s="1286"/>
      <c r="S31" s="2772" t="s">
        <v>423</v>
      </c>
      <c r="T31" s="2772"/>
      <c r="U31" s="1290"/>
      <c r="V31" s="2754" t="str">
        <f>IF(TITLE_NUMBER_PR_CHANGE="",IF(TITLE_NUMBER_PR="","",TITLE_NUMBER_PR),TITLE_NUMBER_PR_CHANGE)</f>
        <v>18-3341</v>
      </c>
      <c r="W31" s="2754"/>
      <c r="X31" s="2754"/>
      <c r="Y31" s="2754"/>
      <c r="Z31" s="2754"/>
      <c r="AA31" s="2754"/>
      <c r="AB31" s="2754"/>
      <c r="AC31" s="262"/>
      <c r="AD31" s="2754" t="str">
        <f>IF(TITLE_NUMBER_PR_CHANGE="",IF(TITLE_NUMBER_PR="","",TITLE_NUMBER_PR),TITLE_NUMBER_PR_CHANGE)</f>
        <v>18-3341</v>
      </c>
      <c r="AE31" s="2754"/>
      <c r="AF31" s="2754"/>
      <c r="AG31" s="2754"/>
      <c r="AH31" s="2754"/>
      <c r="AI31" s="2754"/>
      <c r="AJ31" s="2754"/>
      <c r="AK31" s="262"/>
      <c r="AL31" s="262"/>
      <c r="AM31" s="216"/>
      <c r="AN31" s="303"/>
      <c r="AO31" s="303"/>
      <c r="AP31" s="303"/>
      <c r="AQ31" s="303"/>
      <c r="AR31" s="303"/>
      <c r="AS31" s="353">
        <v>0</v>
      </c>
    </row>
    <row r="32" spans="1:45" s="2529" customFormat="1" ht="18.75" hidden="1" customHeight="1">
      <c r="A32" s="1286"/>
      <c r="B32" s="1286"/>
      <c r="C32" s="1286"/>
      <c r="D32" s="1286"/>
      <c r="E32" s="1286"/>
      <c r="F32" s="1286"/>
      <c r="G32" s="1286"/>
      <c r="H32" s="1286"/>
      <c r="I32" s="1286"/>
      <c r="J32" s="1286"/>
      <c r="K32" s="1286"/>
      <c r="L32" s="1287"/>
      <c r="M32" s="1286"/>
      <c r="N32" s="1286"/>
      <c r="O32" s="1286"/>
      <c r="S32" s="2772" t="s">
        <v>43</v>
      </c>
      <c r="T32" s="2772"/>
      <c r="U32" s="1290"/>
      <c r="V32" s="2754" t="str">
        <f>IF(TITLE_IST_PUB_CHANGE="",IF(TITLE_IST_PUB="","",TITLE_IST_PUB),TITLE_IST_PUB_CHANGE)</f>
        <v/>
      </c>
      <c r="W32" s="2754"/>
      <c r="X32" s="2754"/>
      <c r="Y32" s="2754"/>
      <c r="Z32" s="2754"/>
      <c r="AA32" s="2754"/>
      <c r="AB32" s="2754"/>
      <c r="AC32" s="262"/>
      <c r="AD32" s="2754" t="str">
        <f>IF(TITLE_IST_PUB_CHANGE="",IF(TITLE_IST_PUB="","",TITLE_IST_PUB),TITLE_IST_PUB_CHANGE)</f>
        <v/>
      </c>
      <c r="AE32" s="2754"/>
      <c r="AF32" s="2754"/>
      <c r="AG32" s="2754"/>
      <c r="AH32" s="2754"/>
      <c r="AI32" s="2754"/>
      <c r="AJ32" s="2754"/>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529" customFormat="1" ht="18.75" customHeight="1">
      <c r="A34" s="1286"/>
      <c r="B34" s="1286"/>
      <c r="C34" s="1286"/>
      <c r="D34" s="1286"/>
      <c r="E34" s="1286"/>
      <c r="F34" s="1286"/>
      <c r="G34" s="1286"/>
      <c r="H34" s="1286"/>
      <c r="I34" s="1286"/>
      <c r="J34" s="1286"/>
      <c r="K34" s="1286"/>
      <c r="L34" s="1287"/>
      <c r="M34" s="1286"/>
      <c r="N34" s="1286"/>
      <c r="O34" s="1286"/>
      <c r="S34" s="2772" t="s">
        <v>424</v>
      </c>
      <c r="T34" s="2772"/>
      <c r="U34" s="1290"/>
      <c r="V34" s="2755">
        <f>IF(TITLE_DATE_PR_CHANGE="",IF(TITLE_DATE_PR="","",TITLE_DATE_PR),TITLE_DATE_PR_CHANGE)</f>
        <v>45583</v>
      </c>
      <c r="W34" s="2755"/>
      <c r="X34" s="2755"/>
      <c r="Y34" s="2755"/>
      <c r="Z34" s="2755"/>
      <c r="AA34" s="2755"/>
      <c r="AB34" s="2755"/>
      <c r="AC34" s="262"/>
      <c r="AD34" s="2755">
        <f>IF(TITLE_DATE_PR_CHANGE="",IF(TITLE_DATE_PR="","",TITLE_DATE_PR),TITLE_DATE_PR_CHANGE)</f>
        <v>45583</v>
      </c>
      <c r="AE34" s="2755"/>
      <c r="AF34" s="2755"/>
      <c r="AG34" s="2755"/>
      <c r="AH34" s="2755"/>
      <c r="AI34" s="2755"/>
      <c r="AJ34" s="2755"/>
      <c r="AK34" s="262"/>
      <c r="AL34" s="262"/>
      <c r="AM34" s="216"/>
      <c r="AN34" s="303"/>
      <c r="AO34" s="303"/>
      <c r="AP34" s="303"/>
      <c r="AQ34" s="303"/>
      <c r="AR34" s="303"/>
      <c r="AS34" s="353">
        <v>0</v>
      </c>
    </row>
    <row r="35" spans="1:45" s="2529" customFormat="1" ht="18.75" customHeight="1">
      <c r="A35" s="1286"/>
      <c r="B35" s="1286"/>
      <c r="C35" s="1286"/>
      <c r="D35" s="1286"/>
      <c r="E35" s="1286"/>
      <c r="F35" s="1286"/>
      <c r="G35" s="1286"/>
      <c r="H35" s="1286"/>
      <c r="I35" s="1286"/>
      <c r="J35" s="1286"/>
      <c r="K35" s="1286"/>
      <c r="L35" s="1287"/>
      <c r="M35" s="1286"/>
      <c r="N35" s="1286"/>
      <c r="O35" s="1286"/>
      <c r="S35" s="2772" t="s">
        <v>425</v>
      </c>
      <c r="T35" s="2772"/>
      <c r="U35" s="1290"/>
      <c r="V35" s="2754" t="str">
        <f>IF(TITLE_NUMBER_PR_CHANGE="",IF(TITLE_NUMBER_PR="","",TITLE_NUMBER_PR),TITLE_NUMBER_PR_CHANGE)</f>
        <v>18-3341</v>
      </c>
      <c r="W35" s="2754"/>
      <c r="X35" s="2754"/>
      <c r="Y35" s="2754"/>
      <c r="Z35" s="2754"/>
      <c r="AA35" s="2754"/>
      <c r="AB35" s="2754"/>
      <c r="AC35" s="262"/>
      <c r="AD35" s="2754" t="str">
        <f>IF(TITLE_NUMBER_PR_CHANGE="",IF(TITLE_NUMBER_PR="","",TITLE_NUMBER_PR),TITLE_NUMBER_PR_CHANGE)</f>
        <v>18-3341</v>
      </c>
      <c r="AE35" s="2754"/>
      <c r="AF35" s="2754"/>
      <c r="AG35" s="2754"/>
      <c r="AH35" s="2754"/>
      <c r="AI35" s="2754"/>
      <c r="AJ35" s="2754"/>
      <c r="AK35" s="262"/>
      <c r="AL35" s="262"/>
      <c r="AM35" s="216"/>
      <c r="AN35" s="303"/>
      <c r="AO35" s="303"/>
      <c r="AP35" s="303"/>
      <c r="AQ35" s="303"/>
      <c r="AR35" s="303"/>
      <c r="AS35" s="353">
        <v>0</v>
      </c>
    </row>
    <row r="36" spans="1:45" s="2529"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65" customHeight="1">
      <c r="Q37" s="311"/>
      <c r="R37" s="311"/>
      <c r="S37" s="1193"/>
      <c r="T37" s="298"/>
      <c r="U37" s="1162"/>
      <c r="V37" s="2756"/>
      <c r="W37" s="2756"/>
      <c r="X37" s="2756"/>
      <c r="Y37" s="2756"/>
      <c r="Z37" s="2756"/>
      <c r="AA37" s="2756"/>
      <c r="AB37" s="2756"/>
      <c r="AC37" s="2756"/>
      <c r="AD37" s="2756"/>
      <c r="AE37" s="2756"/>
      <c r="AF37" s="2756"/>
      <c r="AG37" s="2756"/>
      <c r="AH37" s="2756"/>
      <c r="AI37" s="2756"/>
      <c r="AJ37" s="2756"/>
      <c r="AK37" s="2756"/>
      <c r="AS37" s="1073">
        <v>14</v>
      </c>
    </row>
    <row r="38" spans="1:45" ht="14.65" customHeight="1">
      <c r="Q38" s="311"/>
      <c r="R38" s="311"/>
      <c r="S38" s="2638" t="s">
        <v>302</v>
      </c>
      <c r="T38" s="2638"/>
      <c r="U38" s="2638"/>
      <c r="V38" s="2638"/>
      <c r="W38" s="2638"/>
      <c r="X38" s="2638"/>
      <c r="Y38" s="2638"/>
      <c r="Z38" s="2638"/>
      <c r="AA38" s="2638"/>
      <c r="AB38" s="2638"/>
      <c r="AC38" s="2638"/>
      <c r="AD38" s="2638"/>
      <c r="AE38" s="2638"/>
      <c r="AF38" s="2638"/>
      <c r="AG38" s="2638"/>
      <c r="AH38" s="2638"/>
      <c r="AI38" s="2638"/>
      <c r="AJ38" s="2638"/>
      <c r="AK38" s="2638"/>
      <c r="AL38" s="2638"/>
      <c r="AM38" s="2638" t="s">
        <v>303</v>
      </c>
      <c r="AS38" s="1073">
        <v>14</v>
      </c>
    </row>
    <row r="39" spans="1:45" ht="14.65" customHeight="1">
      <c r="Q39" s="311"/>
      <c r="R39" s="311"/>
      <c r="S39" s="2782" t="s">
        <v>87</v>
      </c>
      <c r="T39" s="2724" t="s">
        <v>428</v>
      </c>
      <c r="U39" s="237"/>
      <c r="V39" s="2757" t="s">
        <v>429</v>
      </c>
      <c r="W39" s="2758"/>
      <c r="X39" s="2758"/>
      <c r="Y39" s="2758"/>
      <c r="Z39" s="2758"/>
      <c r="AA39" s="2758"/>
      <c r="AB39" s="2759"/>
      <c r="AC39" s="2760" t="s">
        <v>430</v>
      </c>
      <c r="AD39" s="2757" t="s">
        <v>429</v>
      </c>
      <c r="AE39" s="2758"/>
      <c r="AF39" s="2758"/>
      <c r="AG39" s="2758"/>
      <c r="AH39" s="2758"/>
      <c r="AI39" s="2758"/>
      <c r="AJ39" s="2759"/>
      <c r="AK39" s="2760" t="s">
        <v>431</v>
      </c>
      <c r="AL39" s="2783" t="s">
        <v>432</v>
      </c>
      <c r="AM39" s="2638"/>
      <c r="AS39" s="1073">
        <v>14</v>
      </c>
    </row>
    <row r="40" spans="1:45" ht="35.65" customHeight="1">
      <c r="Q40" s="311"/>
      <c r="R40" s="311"/>
      <c r="S40" s="2782"/>
      <c r="T40" s="2724"/>
      <c r="U40" s="953"/>
      <c r="V40" s="2695" t="s">
        <v>433</v>
      </c>
      <c r="W40" s="2763"/>
      <c r="X40" s="2610" t="s">
        <v>435</v>
      </c>
      <c r="Y40" s="2609"/>
      <c r="Z40" s="2610" t="s">
        <v>436</v>
      </c>
      <c r="AA40" s="2615"/>
      <c r="AB40" s="2609"/>
      <c r="AC40" s="2761"/>
      <c r="AD40" s="2695" t="s">
        <v>452</v>
      </c>
      <c r="AE40" s="2763"/>
      <c r="AF40" s="2610" t="s">
        <v>435</v>
      </c>
      <c r="AG40" s="2609"/>
      <c r="AH40" s="2610" t="s">
        <v>436</v>
      </c>
      <c r="AI40" s="2615"/>
      <c r="AJ40" s="2609"/>
      <c r="AK40" s="2761"/>
      <c r="AL40" s="2784"/>
      <c r="AM40" s="2638"/>
      <c r="AS40" s="1073">
        <v>34</v>
      </c>
    </row>
    <row r="41" spans="1:45" ht="35.65" customHeight="1">
      <c r="A41" s="1288"/>
      <c r="B41" s="1288" t="s">
        <v>134</v>
      </c>
      <c r="C41" s="1288" t="s">
        <v>135</v>
      </c>
      <c r="D41" s="1288" t="s">
        <v>136</v>
      </c>
      <c r="E41" s="1282" t="s">
        <v>437</v>
      </c>
      <c r="F41" s="1282" t="s">
        <v>438</v>
      </c>
      <c r="G41" s="1282" t="s">
        <v>439</v>
      </c>
      <c r="H41" s="1282" t="s">
        <v>440</v>
      </c>
      <c r="I41" s="1282" t="s">
        <v>441</v>
      </c>
      <c r="J41" s="1282" t="s">
        <v>442</v>
      </c>
      <c r="K41" s="1282" t="s">
        <v>443</v>
      </c>
      <c r="L41" s="1282" t="s">
        <v>417</v>
      </c>
      <c r="Q41" s="311"/>
      <c r="R41" s="311"/>
      <c r="S41" s="2782"/>
      <c r="T41" s="2724"/>
      <c r="U41" s="238"/>
      <c r="V41" s="2744"/>
      <c r="W41" s="2764"/>
      <c r="X41" s="1140" t="s">
        <v>444</v>
      </c>
      <c r="Y41" s="1140" t="s">
        <v>445</v>
      </c>
      <c r="Z41" s="1256" t="s">
        <v>446</v>
      </c>
      <c r="AA41" s="2733" t="s">
        <v>447</v>
      </c>
      <c r="AB41" s="2735"/>
      <c r="AC41" s="2762"/>
      <c r="AD41" s="2744"/>
      <c r="AE41" s="2764"/>
      <c r="AF41" s="1140" t="s">
        <v>444</v>
      </c>
      <c r="AG41" s="1140" t="s">
        <v>445</v>
      </c>
      <c r="AH41" s="1256" t="s">
        <v>446</v>
      </c>
      <c r="AI41" s="2733" t="s">
        <v>447</v>
      </c>
      <c r="AJ41" s="2735"/>
      <c r="AK41" s="2762"/>
      <c r="AL41" s="2785"/>
      <c r="AM41" s="2638"/>
      <c r="AS41" s="1073">
        <v>34</v>
      </c>
    </row>
    <row r="42" spans="1:45" s="254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108</v>
      </c>
      <c r="T42" s="1173" t="s">
        <v>109</v>
      </c>
      <c r="U42" s="1163" t="str">
        <f ca="1">OFFSET(U42,0,-1)</f>
        <v>2</v>
      </c>
      <c r="V42" s="1253">
        <f ca="1">OFFSET(V42,0,-1)+1</f>
        <v>3</v>
      </c>
      <c r="W42" s="1253"/>
      <c r="X42" s="1253">
        <f ca="1">OFFSET(X42,0,-1)+1</f>
        <v>1</v>
      </c>
      <c r="Y42" s="1253">
        <f ca="1">OFFSET(Y42,0,-1)+1</f>
        <v>2</v>
      </c>
      <c r="Z42" s="1253">
        <f ca="1">OFFSET(Z42,0,-1)+1</f>
        <v>3</v>
      </c>
      <c r="AA42" s="2765">
        <f ca="1">OFFSET(AA42,0,-1)+1</f>
        <v>4</v>
      </c>
      <c r="AB42" s="2765"/>
      <c r="AC42" s="1253">
        <f ca="1">OFFSET(AC42,0,-2)+1</f>
        <v>5</v>
      </c>
      <c r="AD42" s="1253">
        <f ca="1">OFFSET(AD42,0,-1)+1</f>
        <v>6</v>
      </c>
      <c r="AE42" s="1253"/>
      <c r="AF42" s="1253">
        <f ca="1">OFFSET(AF42,0,-1)+1</f>
        <v>1</v>
      </c>
      <c r="AG42" s="1253">
        <f ca="1">OFFSET(AG42,0,-1)+1</f>
        <v>2</v>
      </c>
      <c r="AH42" s="1253">
        <f ca="1">OFFSET(AH42,0,-1)+1</f>
        <v>3</v>
      </c>
      <c r="AI42" s="2765">
        <f ca="1">OFFSET(AI42,0,-1)+1</f>
        <v>4</v>
      </c>
      <c r="AJ42" s="2765"/>
      <c r="AK42" s="1253">
        <f ca="1">OFFSET(AK42,0,-2)+1</f>
        <v>5</v>
      </c>
      <c r="AL42" s="1163">
        <f ca="1">OFFSET(AL42,0,-1)</f>
        <v>5</v>
      </c>
      <c r="AM42" s="1253">
        <f ca="1">OFFSET(AM42,0,-1)+1</f>
        <v>6</v>
      </c>
      <c r="AN42" s="446"/>
      <c r="AO42" s="446"/>
      <c r="AP42" s="446"/>
      <c r="AQ42" s="446"/>
      <c r="AR42" s="446"/>
      <c r="AS42" s="431">
        <v>0</v>
      </c>
    </row>
    <row r="43" spans="1:45" ht="21.95" customHeight="1">
      <c r="A43" s="1281" t="s">
        <v>184</v>
      </c>
      <c r="B43" s="1281"/>
      <c r="C43" s="1281"/>
      <c r="D43" s="1281"/>
      <c r="E43" s="2778">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122</v>
      </c>
      <c r="U43" s="236"/>
      <c r="V43" s="2766"/>
      <c r="W43" s="2767"/>
      <c r="X43" s="2767"/>
      <c r="Y43" s="2767"/>
      <c r="Z43" s="2767"/>
      <c r="AA43" s="2767"/>
      <c r="AB43" s="2767"/>
      <c r="AC43" s="2768"/>
      <c r="AD43" s="2766" t="str">
        <f>INDEX(PT_DIFFERENTIATION_NTAR,MATCH(A43,PT_DIFFERENTIATION_NTAR_ID,0))</f>
        <v/>
      </c>
      <c r="AE43" s="2767"/>
      <c r="AF43" s="2767"/>
      <c r="AG43" s="2767"/>
      <c r="AH43" s="2767"/>
      <c r="AI43" s="2767"/>
      <c r="AJ43" s="2767"/>
      <c r="AK43" s="2767"/>
      <c r="AL43" s="276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184</v>
      </c>
      <c r="B44" s="1281" t="s">
        <v>185</v>
      </c>
      <c r="C44" s="1281"/>
      <c r="D44" s="1281"/>
      <c r="E44" s="2779"/>
      <c r="F44" s="2778">
        <v>1</v>
      </c>
      <c r="G44" s="1281"/>
      <c r="H44" s="1281"/>
      <c r="I44" s="1281"/>
      <c r="J44" s="1281"/>
      <c r="K44" s="1281"/>
      <c r="L44" s="1282"/>
      <c r="M44" s="1283"/>
      <c r="N44" s="1283"/>
      <c r="O44" s="1283"/>
      <c r="P44" s="1250"/>
      <c r="Q44" s="287"/>
      <c r="R44" s="288"/>
      <c r="S44" s="1254" t="str">
        <f>INDEX(PT_DIFFERENTIATION_NUM_TER,MATCH(B44,PT_DIFFERENTIATION_TER_ID,0))</f>
        <v>.</v>
      </c>
      <c r="T44" s="244" t="s">
        <v>399</v>
      </c>
      <c r="U44" s="236"/>
      <c r="V44" s="2766"/>
      <c r="W44" s="2767"/>
      <c r="X44" s="2767"/>
      <c r="Y44" s="2767"/>
      <c r="Z44" s="2767"/>
      <c r="AA44" s="2767"/>
      <c r="AB44" s="2767"/>
      <c r="AC44" s="2768"/>
      <c r="AD44" s="2766" t="str">
        <f>INDEX(PT_DIFFERENTIATION_TER,MATCH(B44,PT_DIFFERENTIATION_TER_ID,0))</f>
        <v/>
      </c>
      <c r="AE44" s="2767"/>
      <c r="AF44" s="2767"/>
      <c r="AG44" s="2767"/>
      <c r="AH44" s="2767"/>
      <c r="AI44" s="2767"/>
      <c r="AJ44" s="2767"/>
      <c r="AK44" s="2767"/>
      <c r="AL44" s="2768"/>
      <c r="AM44" s="1176" t="s">
        <v>400</v>
      </c>
      <c r="AO44" s="435"/>
      <c r="AP44" s="435" t="str">
        <f t="shared" si="1"/>
        <v>Территория действия тарифа</v>
      </c>
      <c r="AQ44" s="435"/>
      <c r="AR44" s="435"/>
      <c r="AS44" s="1073">
        <v>21</v>
      </c>
    </row>
    <row r="45" spans="1:45" ht="24" customHeight="1">
      <c r="A45" s="1281" t="s">
        <v>184</v>
      </c>
      <c r="B45" s="1281" t="s">
        <v>185</v>
      </c>
      <c r="C45" s="1281" t="s">
        <v>186</v>
      </c>
      <c r="D45" s="1281"/>
      <c r="E45" s="2779"/>
      <c r="F45" s="2779"/>
      <c r="G45" s="2778">
        <v>1</v>
      </c>
      <c r="H45" s="1281"/>
      <c r="I45" s="1281"/>
      <c r="J45" s="1281"/>
      <c r="K45" s="1281"/>
      <c r="L45" s="1282"/>
      <c r="M45" s="1283"/>
      <c r="N45" s="1283"/>
      <c r="O45" s="1283"/>
      <c r="P45" s="289"/>
      <c r="Q45" s="287"/>
      <c r="R45" s="288"/>
      <c r="S45" s="1254" t="str">
        <f>INDEX(PT_DIFFERENTIATION_NUM_CS,MATCH(C45,PT_DIFFERENTIATION_CS_ID,0))</f>
        <v>..</v>
      </c>
      <c r="T45" s="245" t="s">
        <v>401</v>
      </c>
      <c r="U45" s="236"/>
      <c r="V45" s="2766"/>
      <c r="W45" s="2767"/>
      <c r="X45" s="2767"/>
      <c r="Y45" s="2767"/>
      <c r="Z45" s="2767"/>
      <c r="AA45" s="2767"/>
      <c r="AB45" s="2767"/>
      <c r="AC45" s="2768"/>
      <c r="AD45" s="2766" t="str">
        <f>INDEX(PT_DIFFERENTIATION_CS,MATCH(C45,PT_DIFFERENTIATION_CS_ID,0))</f>
        <v/>
      </c>
      <c r="AE45" s="2767"/>
      <c r="AF45" s="2767"/>
      <c r="AG45" s="2767"/>
      <c r="AH45" s="2767"/>
      <c r="AI45" s="2767"/>
      <c r="AJ45" s="2767"/>
      <c r="AK45" s="2767"/>
      <c r="AL45" s="2768"/>
      <c r="AM45" s="1176" t="s">
        <v>402</v>
      </c>
      <c r="AO45" s="435"/>
      <c r="AP45" s="435" t="str">
        <f t="shared" si="1"/>
        <v xml:space="preserve">Наименование системы теплоснабжения </v>
      </c>
      <c r="AQ45" s="435"/>
      <c r="AR45" s="435"/>
      <c r="AS45" s="1073">
        <v>23</v>
      </c>
    </row>
    <row r="46" spans="1:45" ht="21.95" customHeight="1">
      <c r="A46" s="1281" t="s">
        <v>184</v>
      </c>
      <c r="B46" s="1281" t="s">
        <v>185</v>
      </c>
      <c r="C46" s="1281" t="s">
        <v>186</v>
      </c>
      <c r="D46" s="1281" t="s">
        <v>187</v>
      </c>
      <c r="E46" s="2779"/>
      <c r="F46" s="2779"/>
      <c r="G46" s="2779"/>
      <c r="H46" s="2778">
        <v>1</v>
      </c>
      <c r="I46" s="1281"/>
      <c r="J46" s="1281"/>
      <c r="K46" s="1281"/>
      <c r="L46" s="1282"/>
      <c r="M46" s="1283"/>
      <c r="N46" s="1283"/>
      <c r="O46" s="1283"/>
      <c r="P46" s="289"/>
      <c r="Q46" s="287"/>
      <c r="R46" s="288"/>
      <c r="S46" s="1254" t="str">
        <f>INDEX(PT_DIFFERENTIATION_NUM_IST_TE,MATCH(D46,PT_DIFFERENTIATION_IST_TE_ID,0))</f>
        <v>...</v>
      </c>
      <c r="T46" s="246" t="s">
        <v>403</v>
      </c>
      <c r="U46" s="236"/>
      <c r="V46" s="2766"/>
      <c r="W46" s="2767"/>
      <c r="X46" s="2767"/>
      <c r="Y46" s="2767"/>
      <c r="Z46" s="2767"/>
      <c r="AA46" s="2767"/>
      <c r="AB46" s="2767"/>
      <c r="AC46" s="2768"/>
      <c r="AD46" s="2766" t="str">
        <f>INDEX(PT_DIFFERENTIATION_IST_TE,MATCH(D46,PT_DIFFERENTIATION_IST_TE_ID,0))</f>
        <v/>
      </c>
      <c r="AE46" s="2767"/>
      <c r="AF46" s="2767"/>
      <c r="AG46" s="2767"/>
      <c r="AH46" s="2767"/>
      <c r="AI46" s="2767"/>
      <c r="AJ46" s="2767"/>
      <c r="AK46" s="2767"/>
      <c r="AL46" s="2768"/>
      <c r="AM46" s="1176" t="s">
        <v>404</v>
      </c>
      <c r="AO46" s="435"/>
      <c r="AP46" s="435" t="str">
        <f t="shared" si="1"/>
        <v xml:space="preserve">Источник тепловой энергии  </v>
      </c>
      <c r="AQ46" s="435"/>
      <c r="AR46" s="435"/>
      <c r="AS46" s="1073">
        <v>21</v>
      </c>
    </row>
    <row r="47" spans="1:45" s="2520" customFormat="1" ht="0" hidden="1" customHeight="1">
      <c r="A47" s="1261" t="s">
        <v>184</v>
      </c>
      <c r="B47" s="1261" t="s">
        <v>185</v>
      </c>
      <c r="C47" s="1261" t="s">
        <v>186</v>
      </c>
      <c r="D47" s="1261" t="s">
        <v>187</v>
      </c>
      <c r="E47" s="2779"/>
      <c r="F47" s="2779"/>
      <c r="G47" s="2779"/>
      <c r="H47" s="2779"/>
      <c r="I47" s="2776" t="str">
        <f>S46&amp;".1"</f>
        <v>....1</v>
      </c>
      <c r="J47" s="1261"/>
      <c r="K47" s="1261"/>
      <c r="L47" s="1264" t="s">
        <v>405</v>
      </c>
      <c r="M47" s="445"/>
      <c r="N47" s="445"/>
      <c r="O47" s="445"/>
      <c r="P47" s="2777">
        <v>1</v>
      </c>
      <c r="Q47" s="1249"/>
      <c r="R47" s="291"/>
      <c r="S47" s="964"/>
      <c r="T47" s="1301"/>
      <c r="U47" s="1302"/>
      <c r="V47" s="2795"/>
      <c r="W47" s="2796"/>
      <c r="X47" s="2796"/>
      <c r="Y47" s="2796"/>
      <c r="Z47" s="2796"/>
      <c r="AA47" s="2796"/>
      <c r="AB47" s="2796"/>
      <c r="AC47" s="2797"/>
      <c r="AD47" s="2795"/>
      <c r="AE47" s="2796"/>
      <c r="AF47" s="2796"/>
      <c r="AG47" s="2796"/>
      <c r="AH47" s="2796"/>
      <c r="AI47" s="2796"/>
      <c r="AJ47" s="2796"/>
      <c r="AK47" s="2796"/>
      <c r="AL47" s="2797"/>
      <c r="AM47" s="1303"/>
      <c r="AO47" s="435"/>
      <c r="AP47" s="435" t="str">
        <f t="shared" si="1"/>
        <v/>
      </c>
      <c r="AQ47" s="435"/>
      <c r="AR47" s="435"/>
      <c r="AS47" s="446">
        <v>0</v>
      </c>
    </row>
    <row r="48" spans="1:45" ht="21.95" customHeight="1">
      <c r="A48" s="1281" t="s">
        <v>184</v>
      </c>
      <c r="B48" s="1281" t="s">
        <v>185</v>
      </c>
      <c r="C48" s="1281" t="s">
        <v>186</v>
      </c>
      <c r="D48" s="1281" t="s">
        <v>187</v>
      </c>
      <c r="E48" s="2779"/>
      <c r="F48" s="2779"/>
      <c r="G48" s="2779"/>
      <c r="H48" s="2779"/>
      <c r="I48" s="2787"/>
      <c r="J48" s="2776" t="str">
        <f>S46&amp;".1"</f>
        <v>....1</v>
      </c>
      <c r="K48" s="1281"/>
      <c r="L48" s="1282" t="s">
        <v>408</v>
      </c>
      <c r="P48" s="2777"/>
      <c r="Q48" s="2777">
        <v>1</v>
      </c>
      <c r="R48" s="292"/>
      <c r="S48" s="1254" t="str">
        <f>$J48</f>
        <v>....1</v>
      </c>
      <c r="T48" s="222" t="s">
        <v>409</v>
      </c>
      <c r="U48" s="236"/>
      <c r="V48" s="2769"/>
      <c r="W48" s="2770"/>
      <c r="X48" s="2770"/>
      <c r="Y48" s="2770"/>
      <c r="Z48" s="2770"/>
      <c r="AA48" s="2770"/>
      <c r="AB48" s="2770"/>
      <c r="AC48" s="2771"/>
      <c r="AD48" s="2769"/>
      <c r="AE48" s="2770"/>
      <c r="AF48" s="2770"/>
      <c r="AG48" s="2770"/>
      <c r="AH48" s="2770"/>
      <c r="AI48" s="2770"/>
      <c r="AJ48" s="2770"/>
      <c r="AK48" s="2770"/>
      <c r="AL48" s="2771"/>
      <c r="AM48" s="1176" t="s">
        <v>410</v>
      </c>
      <c r="AO48" s="435"/>
      <c r="AP48" s="435" t="str">
        <f t="shared" si="1"/>
        <v>Группа потребителей</v>
      </c>
      <c r="AQ48" s="435"/>
      <c r="AR48" s="435"/>
      <c r="AS48" s="1073">
        <v>21</v>
      </c>
    </row>
    <row r="49" spans="1:45" ht="21.95" customHeight="1">
      <c r="A49" s="1281" t="s">
        <v>184</v>
      </c>
      <c r="B49" s="1281" t="s">
        <v>185</v>
      </c>
      <c r="C49" s="1281" t="s">
        <v>186</v>
      </c>
      <c r="D49" s="1281" t="s">
        <v>187</v>
      </c>
      <c r="E49" s="2779"/>
      <c r="F49" s="2779"/>
      <c r="G49" s="2779"/>
      <c r="H49" s="2779"/>
      <c r="I49" s="2787"/>
      <c r="J49" s="2787"/>
      <c r="K49" s="2776" t="str">
        <f>J48&amp;".1"</f>
        <v>....1.1</v>
      </c>
      <c r="L49" s="1282" t="s">
        <v>411</v>
      </c>
      <c r="P49" s="2777"/>
      <c r="Q49" s="2777"/>
      <c r="R49" s="292">
        <v>1</v>
      </c>
      <c r="S49" s="1254" t="str">
        <f>$K49</f>
        <v>....1.1</v>
      </c>
      <c r="T49" s="1265"/>
      <c r="U49" s="236"/>
      <c r="V49" s="686"/>
      <c r="W49" s="261"/>
      <c r="X49" s="686"/>
      <c r="Y49" s="1175"/>
      <c r="Z49" s="2753"/>
      <c r="AA49" s="2619" t="s">
        <v>66</v>
      </c>
      <c r="AB49" s="2753"/>
      <c r="AC49" s="2619" t="s">
        <v>66</v>
      </c>
      <c r="AD49" s="686"/>
      <c r="AE49" s="261"/>
      <c r="AF49" s="686"/>
      <c r="AG49" s="1175"/>
      <c r="AH49" s="2753"/>
      <c r="AI49" s="2619" t="s">
        <v>66</v>
      </c>
      <c r="AJ49" s="2788"/>
      <c r="AK49" s="2619" t="s">
        <v>66</v>
      </c>
      <c r="AL49" s="1266"/>
      <c r="AM49" s="2773" t="s">
        <v>453</v>
      </c>
      <c r="AN49" s="446" t="e">
        <f ca="1">STRCHECKDATE(V50:AL50)</f>
        <v>#NAME?</v>
      </c>
      <c r="AO49" s="435"/>
      <c r="AP49" s="435" t="str">
        <f t="shared" si="1"/>
        <v/>
      </c>
      <c r="AQ49" s="435"/>
      <c r="AR49" s="435"/>
      <c r="AS49" s="1073">
        <v>21</v>
      </c>
    </row>
    <row r="50" spans="1:45" ht="1.1499999999999999" customHeight="1">
      <c r="A50" s="1281" t="s">
        <v>184</v>
      </c>
      <c r="B50" s="1281" t="s">
        <v>185</v>
      </c>
      <c r="C50" s="1281" t="s">
        <v>186</v>
      </c>
      <c r="D50" s="1281" t="s">
        <v>187</v>
      </c>
      <c r="E50" s="2779"/>
      <c r="F50" s="2779"/>
      <c r="G50" s="2779"/>
      <c r="H50" s="2779"/>
      <c r="I50" s="2787"/>
      <c r="J50" s="2787"/>
      <c r="K50" s="2776"/>
      <c r="L50" s="1282"/>
      <c r="P50" s="2777"/>
      <c r="Q50" s="2777"/>
      <c r="R50" s="292"/>
      <c r="S50" s="1260"/>
      <c r="T50" s="236"/>
      <c r="U50" s="236"/>
      <c r="V50" s="261"/>
      <c r="W50" s="261"/>
      <c r="X50" s="261"/>
      <c r="Y50" s="264" t="str">
        <f>Z49&amp;"-"&amp;AB49</f>
        <v>-</v>
      </c>
      <c r="Z50" s="2752"/>
      <c r="AA50" s="2619"/>
      <c r="AB50" s="2752"/>
      <c r="AC50" s="2619"/>
      <c r="AD50" s="261"/>
      <c r="AE50" s="261"/>
      <c r="AF50" s="261"/>
      <c r="AG50" s="264" t="str">
        <f>AH49&amp;"-"&amp;AJ49</f>
        <v>-</v>
      </c>
      <c r="AH50" s="2752"/>
      <c r="AI50" s="2619"/>
      <c r="AJ50" s="2789"/>
      <c r="AK50" s="2619"/>
      <c r="AL50" s="1267"/>
      <c r="AM50" s="2774"/>
      <c r="AO50" s="435"/>
      <c r="AP50" s="435" t="str">
        <f t="shared" si="1"/>
        <v/>
      </c>
      <c r="AQ50" s="435"/>
      <c r="AR50" s="435"/>
      <c r="AS50" s="1073">
        <v>1</v>
      </c>
    </row>
    <row r="51" spans="1:45" ht="11.45" customHeight="1">
      <c r="A51" s="1281" t="s">
        <v>184</v>
      </c>
      <c r="B51" s="1281" t="s">
        <v>185</v>
      </c>
      <c r="C51" s="1281" t="s">
        <v>186</v>
      </c>
      <c r="D51" s="1281" t="s">
        <v>187</v>
      </c>
      <c r="E51" s="2779"/>
      <c r="F51" s="2779"/>
      <c r="G51" s="2779"/>
      <c r="H51" s="2779"/>
      <c r="I51" s="2787"/>
      <c r="J51" s="2776"/>
      <c r="K51" s="1281"/>
      <c r="L51" s="1282"/>
      <c r="P51" s="2777"/>
      <c r="Q51" s="2777"/>
      <c r="R51" s="291"/>
      <c r="S51" s="1196"/>
      <c r="T51" s="223" t="s">
        <v>413</v>
      </c>
      <c r="U51" s="302"/>
      <c r="V51" s="302"/>
      <c r="W51" s="302"/>
      <c r="X51" s="302"/>
      <c r="Y51" s="302"/>
      <c r="Z51" s="302"/>
      <c r="AA51" s="302"/>
      <c r="AB51" s="302"/>
      <c r="AC51" s="302"/>
      <c r="AD51" s="302"/>
      <c r="AE51" s="302"/>
      <c r="AF51" s="302"/>
      <c r="AG51" s="302"/>
      <c r="AH51" s="302"/>
      <c r="AI51" s="302"/>
      <c r="AJ51" s="302"/>
      <c r="AK51" s="302"/>
      <c r="AL51" s="260"/>
      <c r="AM51" s="2775"/>
      <c r="AO51" s="435"/>
      <c r="AP51" s="435" t="str">
        <f t="shared" si="1"/>
        <v>Добавить вид теплоносителя (параметры теплоносителя)</v>
      </c>
      <c r="AQ51" s="435"/>
      <c r="AR51" s="435"/>
      <c r="AS51" s="1073">
        <v>11</v>
      </c>
    </row>
    <row r="52" spans="1:45" ht="11.45" customHeight="1">
      <c r="A52" s="1281" t="s">
        <v>184</v>
      </c>
      <c r="B52" s="1281" t="s">
        <v>185</v>
      </c>
      <c r="C52" s="1281" t="s">
        <v>186</v>
      </c>
      <c r="D52" s="1281" t="s">
        <v>187</v>
      </c>
      <c r="E52" s="2779"/>
      <c r="F52" s="2779"/>
      <c r="G52" s="2779"/>
      <c r="H52" s="2779"/>
      <c r="I52" s="2776"/>
      <c r="J52" s="1281"/>
      <c r="K52" s="1281"/>
      <c r="L52" s="1282"/>
      <c r="P52" s="2777"/>
      <c r="Q52" s="1249"/>
      <c r="R52" s="291"/>
      <c r="S52" s="1196"/>
      <c r="T52" s="300" t="s">
        <v>414</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184</v>
      </c>
      <c r="B53" s="1281" t="s">
        <v>185</v>
      </c>
      <c r="C53" s="1281" t="s">
        <v>186</v>
      </c>
      <c r="D53" s="1281" t="s">
        <v>187</v>
      </c>
      <c r="E53" s="2779"/>
      <c r="F53" s="2779"/>
      <c r="G53" s="2779"/>
      <c r="H53" s="2778"/>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520" customFormat="1" ht="1.1499999999999999" customHeight="1">
      <c r="A54" s="1261" t="s">
        <v>184</v>
      </c>
      <c r="B54" s="1261" t="s">
        <v>185</v>
      </c>
      <c r="C54" s="1261" t="s">
        <v>186</v>
      </c>
      <c r="D54" s="1232"/>
      <c r="E54" s="2779"/>
      <c r="F54" s="2779"/>
      <c r="G54" s="2778"/>
      <c r="H54" s="1232"/>
      <c r="I54" s="1232"/>
      <c r="J54" s="1232"/>
      <c r="K54" s="1232"/>
      <c r="L54" s="1257"/>
      <c r="M54" s="1233"/>
      <c r="N54" s="1233"/>
      <c r="P54" s="1234"/>
      <c r="Q54" s="1235"/>
      <c r="R54" s="1234"/>
      <c r="S54" s="1240"/>
      <c r="T54" s="1243" t="s">
        <v>160</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520" customFormat="1" ht="1.1499999999999999" customHeight="1">
      <c r="A55" s="1261" t="s">
        <v>184</v>
      </c>
      <c r="B55" s="1261" t="s">
        <v>185</v>
      </c>
      <c r="C55" s="1232"/>
      <c r="D55" s="1232"/>
      <c r="E55" s="2779"/>
      <c r="F55" s="2778"/>
      <c r="G55" s="1232"/>
      <c r="H55" s="1232"/>
      <c r="I55" s="1232"/>
      <c r="J55" s="1232"/>
      <c r="K55" s="1232"/>
      <c r="L55" s="1257"/>
      <c r="M55" s="1239"/>
      <c r="N55" s="1239"/>
      <c r="P55" s="1234"/>
      <c r="Q55" s="1235"/>
      <c r="R55" s="1234"/>
      <c r="S55" s="1240"/>
      <c r="T55" s="1243" t="s">
        <v>161</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520" customFormat="1" ht="1.1499999999999999" customHeight="1">
      <c r="A56" s="1261" t="s">
        <v>184</v>
      </c>
      <c r="B56" s="1261"/>
      <c r="C56" s="1261"/>
      <c r="D56" s="1261"/>
      <c r="E56" s="2778"/>
      <c r="F56" s="1261"/>
      <c r="G56" s="1261"/>
      <c r="H56" s="1261"/>
      <c r="I56" s="1261"/>
      <c r="J56" s="1261"/>
      <c r="K56" s="1261"/>
      <c r="L56" s="1264"/>
      <c r="M56" s="1239"/>
      <c r="N56" s="1239"/>
      <c r="O56" s="453"/>
      <c r="P56" s="315"/>
      <c r="Q56" s="1262"/>
      <c r="R56" s="315"/>
      <c r="S56" s="1240"/>
      <c r="T56" s="1243" t="s">
        <v>162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520"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786"/>
      <c r="U59" s="2786"/>
      <c r="V59" s="2786"/>
      <c r="W59" s="2786"/>
      <c r="X59" s="2786"/>
      <c r="Y59" s="2786"/>
      <c r="Z59" s="2786"/>
      <c r="AA59" s="2786"/>
      <c r="AB59" s="2786"/>
      <c r="AC59" s="2786"/>
      <c r="AD59" s="2786"/>
      <c r="AE59" s="2786"/>
      <c r="AF59" s="2786"/>
      <c r="AG59" s="2786"/>
      <c r="AH59" s="2786"/>
      <c r="AI59" s="2786"/>
      <c r="AJ59" s="2786"/>
      <c r="AK59" s="2786"/>
      <c r="AL59" s="2786"/>
      <c r="AM59" s="2786"/>
      <c r="AS59" s="1073">
        <v>22</v>
      </c>
    </row>
    <row r="60" spans="1:45" ht="30.4" customHeight="1">
      <c r="O60" s="472"/>
      <c r="T60" s="2786"/>
      <c r="U60" s="2786"/>
      <c r="V60" s="2786"/>
      <c r="W60" s="2786"/>
      <c r="X60" s="2786"/>
      <c r="Y60" s="2786"/>
      <c r="Z60" s="2786"/>
      <c r="AA60" s="2786"/>
      <c r="AB60" s="2786"/>
      <c r="AC60" s="2786"/>
      <c r="AD60" s="2786"/>
      <c r="AE60" s="2786"/>
      <c r="AF60" s="2786"/>
      <c r="AG60" s="2786"/>
      <c r="AH60" s="2786"/>
      <c r="AI60" s="2786"/>
      <c r="AJ60" s="2786"/>
      <c r="AK60" s="2786"/>
      <c r="AL60" s="2786"/>
      <c r="AM60" s="2786"/>
      <c r="AS60" s="1073">
        <v>29</v>
      </c>
    </row>
    <row r="61" spans="1:45" ht="42" customHeight="1">
      <c r="O61" s="472"/>
      <c r="T61" s="2786"/>
      <c r="U61" s="2786"/>
      <c r="V61" s="2786"/>
      <c r="W61" s="2786"/>
      <c r="X61" s="2786"/>
      <c r="Y61" s="2786"/>
      <c r="Z61" s="2786"/>
      <c r="AA61" s="2786"/>
      <c r="AB61" s="2786"/>
      <c r="AC61" s="2786"/>
      <c r="AD61" s="2786"/>
      <c r="AE61" s="2786"/>
      <c r="AF61" s="2786"/>
      <c r="AG61" s="2786"/>
      <c r="AH61" s="2786"/>
      <c r="AI61" s="2786"/>
      <c r="AJ61" s="2786"/>
      <c r="AK61" s="2786"/>
      <c r="AL61" s="2786"/>
      <c r="AM61" s="2786"/>
      <c r="AS61" s="1073">
        <v>40</v>
      </c>
    </row>
    <row r="62" spans="1:45" ht="14.65" customHeight="1">
      <c r="O62" s="472"/>
      <c r="AS62" s="1073">
        <v>14</v>
      </c>
    </row>
    <row r="63" spans="1:45" ht="21" customHeight="1">
      <c r="O63" s="472"/>
      <c r="S63" s="1171"/>
      <c r="T63" s="2688"/>
      <c r="U63" s="2786"/>
      <c r="V63" s="2786"/>
      <c r="W63" s="2786"/>
      <c r="X63" s="2786"/>
      <c r="Y63" s="2786"/>
      <c r="Z63" s="2786"/>
      <c r="AA63" s="2786"/>
      <c r="AB63" s="2786"/>
      <c r="AC63" s="2786"/>
      <c r="AD63" s="2786"/>
      <c r="AE63" s="2786"/>
      <c r="AF63" s="2786"/>
      <c r="AG63" s="2786"/>
      <c r="AH63" s="2786"/>
      <c r="AI63" s="2786"/>
      <c r="AJ63" s="2786"/>
      <c r="AK63" s="2786"/>
      <c r="AL63" s="2786"/>
      <c r="AM63" s="2786"/>
      <c r="AS63" s="1073">
        <v>20</v>
      </c>
    </row>
    <row r="64" spans="1:45" ht="29.25" customHeight="1">
      <c r="O64" s="472"/>
      <c r="T64" s="2786"/>
      <c r="U64" s="2786"/>
      <c r="V64" s="2786"/>
      <c r="W64" s="2786"/>
      <c r="X64" s="2786"/>
      <c r="Y64" s="2786"/>
      <c r="Z64" s="2786"/>
      <c r="AA64" s="2786"/>
      <c r="AB64" s="2786"/>
      <c r="AC64" s="2786"/>
      <c r="AD64" s="2786"/>
      <c r="AE64" s="2786"/>
      <c r="AF64" s="2786"/>
      <c r="AG64" s="2786"/>
      <c r="AH64" s="2786"/>
      <c r="AI64" s="2786"/>
      <c r="AJ64" s="2786"/>
      <c r="AK64" s="2786"/>
      <c r="AL64" s="2786"/>
      <c r="AM64" s="2786"/>
      <c r="AS64" s="1073">
        <v>28</v>
      </c>
    </row>
    <row r="65" spans="1:45" ht="35.65" customHeight="1">
      <c r="T65" s="2786"/>
      <c r="U65" s="2786"/>
      <c r="V65" s="2786"/>
      <c r="W65" s="2786"/>
      <c r="X65" s="2786"/>
      <c r="Y65" s="2786"/>
      <c r="Z65" s="2786"/>
      <c r="AA65" s="2786"/>
      <c r="AB65" s="2786"/>
      <c r="AC65" s="2786"/>
      <c r="AD65" s="2786"/>
      <c r="AE65" s="2786"/>
      <c r="AF65" s="2786"/>
      <c r="AG65" s="2786"/>
      <c r="AH65" s="2786"/>
      <c r="AI65" s="2786"/>
      <c r="AJ65" s="2786"/>
      <c r="AK65" s="2786"/>
      <c r="AL65" s="2786"/>
      <c r="AM65" s="2786"/>
      <c r="AS65" s="1073">
        <v>34</v>
      </c>
    </row>
    <row r="66" spans="1:45" ht="22.5" hidden="1" customHeight="1">
      <c r="A66" s="1078" t="s">
        <v>81</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519" hidden="1"/>
    <col min="2" max="2" width="11" style="2519" hidden="1" customWidth="1"/>
    <col min="3" max="3" width="10.5703125" style="2519" hidden="1"/>
    <col min="4" max="4" width="11.85546875" style="2519" hidden="1" customWidth="1"/>
    <col min="5" max="5" width="10" style="2519" hidden="1" customWidth="1"/>
    <col min="6" max="6" width="8.7109375" style="2519" hidden="1" customWidth="1"/>
    <col min="7" max="7" width="7.5703125" style="2519" hidden="1" customWidth="1"/>
    <col min="8" max="8" width="11.42578125" style="2519" hidden="1" customWidth="1"/>
    <col min="9" max="9" width="12" style="2519" hidden="1" customWidth="1"/>
    <col min="10" max="10" width="9.85546875" style="2519" hidden="1" customWidth="1"/>
    <col min="11" max="11" width="11.42578125" style="2519" hidden="1" customWidth="1"/>
    <col min="12" max="12" width="19.140625" style="2545" hidden="1" customWidth="1"/>
    <col min="13" max="14" width="12.28515625" style="2546" hidden="1" customWidth="1"/>
    <col min="15" max="15" width="23.42578125" style="2546" hidden="1" customWidth="1"/>
    <col min="16" max="16" width="3.7109375" style="2547" hidden="1" customWidth="1"/>
    <col min="17" max="18" width="3" style="2548" customWidth="1"/>
    <col min="19" max="19" width="12" style="2549" customWidth="1"/>
    <col min="20" max="20" width="31" style="2513" customWidth="1"/>
    <col min="21" max="21" width="0.140625" style="2513" customWidth="1"/>
    <col min="22" max="22" width="24.7109375" style="2513" hidden="1" customWidth="1"/>
    <col min="23" max="23" width="0.140625" style="2513" hidden="1" customWidth="1"/>
    <col min="24" max="25" width="24.7109375" style="2513" hidden="1" customWidth="1"/>
    <col min="26" max="26" width="11.7109375" style="2513" hidden="1" customWidth="1"/>
    <col min="27" max="27" width="3.7109375" style="2513" hidden="1" customWidth="1"/>
    <col min="28" max="28" width="11.7109375" style="2513" hidden="1" customWidth="1"/>
    <col min="29" max="29" width="8.5703125" style="2513" hidden="1" customWidth="1"/>
    <col min="30" max="30" width="24.7109375" style="2513" customWidth="1"/>
    <col min="31" max="31" width="0.140625" style="2513" customWidth="1"/>
    <col min="32" max="33" width="24" style="2513" customWidth="1"/>
    <col min="34" max="34" width="11" style="2513" customWidth="1"/>
    <col min="35" max="35" width="3.7109375" style="2513" customWidth="1"/>
    <col min="36" max="36" width="11" style="2513" customWidth="1"/>
    <col min="37" max="37" width="8.5703125" style="2513" hidden="1" customWidth="1"/>
    <col min="38" max="38" width="4" style="2513" customWidth="1"/>
    <col min="39" max="39" width="115" style="2513" customWidth="1"/>
    <col min="40" max="44" width="10" style="2520" customWidth="1"/>
    <col min="45" max="45" width="10.5703125" style="2513" hidden="1"/>
  </cols>
  <sheetData>
    <row r="1" spans="1:45" ht="22.5" hidden="1" customHeight="1">
      <c r="Y1" s="263"/>
      <c r="Z1" s="263"/>
      <c r="AG1" s="263"/>
      <c r="AH1" s="263"/>
      <c r="AS1" s="1073" t="s">
        <v>14</v>
      </c>
    </row>
    <row r="2" spans="1:45" ht="21" hidden="1" customHeight="1">
      <c r="A2" s="1281"/>
      <c r="B2" s="1281"/>
      <c r="C2" s="1281"/>
      <c r="D2" s="1281"/>
      <c r="E2" s="2778">
        <v>1</v>
      </c>
      <c r="F2" s="1281"/>
      <c r="G2" s="1281"/>
      <c r="H2" s="1281"/>
      <c r="I2" s="1281"/>
      <c r="J2" s="1281"/>
      <c r="K2" s="1281"/>
      <c r="L2" s="1282"/>
      <c r="M2" s="1283"/>
      <c r="N2" s="1283"/>
      <c r="O2" s="1283"/>
      <c r="P2" s="296"/>
      <c r="Q2" s="295"/>
      <c r="R2" s="290"/>
      <c r="S2" s="1254" t="e">
        <f>INDEX(PT_DIFFERENTIATION_NUM_NTAR,MATCH(A2,PT_DIFFERENTIATION_NTAR_ID,0))</f>
        <v>#N/A</v>
      </c>
      <c r="T2" s="234" t="s">
        <v>122</v>
      </c>
      <c r="U2" s="236"/>
      <c r="V2" s="2766"/>
      <c r="W2" s="2767"/>
      <c r="X2" s="2767"/>
      <c r="Y2" s="2767"/>
      <c r="Z2" s="2767"/>
      <c r="AA2" s="2767"/>
      <c r="AB2" s="2767"/>
      <c r="AC2" s="2768"/>
      <c r="AD2" s="2766" t="e">
        <f>INDEX(PT_DIFFERENTIATION_NTAR,MATCH(A2,PT_DIFFERENTIATION_NTAR_ID,0))</f>
        <v>#N/A</v>
      </c>
      <c r="AE2" s="2767"/>
      <c r="AF2" s="2767"/>
      <c r="AG2" s="2767"/>
      <c r="AH2" s="2767"/>
      <c r="AI2" s="2767"/>
      <c r="AJ2" s="2767"/>
      <c r="AK2" s="2767"/>
      <c r="AL2" s="2768"/>
      <c r="AM2" s="1176" t="s">
        <v>398</v>
      </c>
      <c r="AO2" s="435"/>
      <c r="AP2" s="435" t="str">
        <f t="shared" ref="AP2:AP15" si="0">IF(T2="","",T2)</f>
        <v>Наименование тарифа</v>
      </c>
      <c r="AQ2" s="435"/>
      <c r="AR2" s="435"/>
      <c r="AS2" s="1073">
        <v>0</v>
      </c>
    </row>
    <row r="3" spans="1:45" ht="21" hidden="1" customHeight="1">
      <c r="A3" s="1281"/>
      <c r="B3" s="1281"/>
      <c r="C3" s="1281"/>
      <c r="D3" s="1281"/>
      <c r="E3" s="2779"/>
      <c r="F3" s="2778">
        <v>1</v>
      </c>
      <c r="G3" s="1281"/>
      <c r="H3" s="1281"/>
      <c r="I3" s="1281"/>
      <c r="J3" s="1281"/>
      <c r="K3" s="1281"/>
      <c r="L3" s="1282"/>
      <c r="M3" s="1283"/>
      <c r="N3" s="1283"/>
      <c r="O3" s="1283"/>
      <c r="P3" s="1250"/>
      <c r="Q3" s="287"/>
      <c r="R3" s="288"/>
      <c r="S3" s="1254" t="e">
        <f>INDEX(PT_DIFFERENTIATION_NUM_TER,MATCH(B3,PT_DIFFERENTIATION_TER_ID,0))</f>
        <v>#N/A</v>
      </c>
      <c r="T3" s="244" t="s">
        <v>399</v>
      </c>
      <c r="U3" s="236"/>
      <c r="V3" s="2766"/>
      <c r="W3" s="2767"/>
      <c r="X3" s="2767"/>
      <c r="Y3" s="2767"/>
      <c r="Z3" s="2767"/>
      <c r="AA3" s="2767"/>
      <c r="AB3" s="2767"/>
      <c r="AC3" s="2768"/>
      <c r="AD3" s="2766" t="e">
        <f>INDEX(PT_DIFFERENTIATION_TER,MATCH(B3,PT_DIFFERENTIATION_TER_ID,0))</f>
        <v>#N/A</v>
      </c>
      <c r="AE3" s="2767"/>
      <c r="AF3" s="2767"/>
      <c r="AG3" s="2767"/>
      <c r="AH3" s="2767"/>
      <c r="AI3" s="2767"/>
      <c r="AJ3" s="2767"/>
      <c r="AK3" s="2767"/>
      <c r="AL3" s="2768"/>
      <c r="AM3" s="1176" t="s">
        <v>400</v>
      </c>
      <c r="AO3" s="435"/>
      <c r="AP3" s="435" t="str">
        <f t="shared" si="0"/>
        <v>Территория действия тарифа</v>
      </c>
      <c r="AQ3" s="435"/>
      <c r="AR3" s="435"/>
      <c r="AS3" s="1073">
        <v>0</v>
      </c>
    </row>
    <row r="4" spans="1:45" ht="23.25" hidden="1" customHeight="1">
      <c r="A4" s="1281"/>
      <c r="B4" s="1281"/>
      <c r="C4" s="1281"/>
      <c r="D4" s="1281"/>
      <c r="E4" s="2779"/>
      <c r="F4" s="2779"/>
      <c r="G4" s="2778">
        <v>1</v>
      </c>
      <c r="H4" s="1281"/>
      <c r="I4" s="1281"/>
      <c r="J4" s="1281"/>
      <c r="K4" s="1281"/>
      <c r="L4" s="1282"/>
      <c r="M4" s="1283"/>
      <c r="N4" s="1283"/>
      <c r="O4" s="1283"/>
      <c r="P4" s="289"/>
      <c r="Q4" s="287"/>
      <c r="R4" s="288"/>
      <c r="S4" s="1254" t="e">
        <f>INDEX(PT_DIFFERENTIATION_NUM_CS,MATCH(C4,PT_DIFFERENTIATION_CS_ID,0))</f>
        <v>#N/A</v>
      </c>
      <c r="T4" s="245" t="s">
        <v>401</v>
      </c>
      <c r="U4" s="236"/>
      <c r="V4" s="2766"/>
      <c r="W4" s="2767"/>
      <c r="X4" s="2767"/>
      <c r="Y4" s="2767"/>
      <c r="Z4" s="2767"/>
      <c r="AA4" s="2767"/>
      <c r="AB4" s="2767"/>
      <c r="AC4" s="2768"/>
      <c r="AD4" s="2766" t="e">
        <f>INDEX(PT_DIFFERENTIATION_CS,MATCH(C4,PT_DIFFERENTIATION_CS_ID,0))</f>
        <v>#N/A</v>
      </c>
      <c r="AE4" s="2767"/>
      <c r="AF4" s="2767"/>
      <c r="AG4" s="2767"/>
      <c r="AH4" s="2767"/>
      <c r="AI4" s="2767"/>
      <c r="AJ4" s="2767"/>
      <c r="AK4" s="2767"/>
      <c r="AL4" s="2768"/>
      <c r="AM4" s="1176" t="s">
        <v>402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779"/>
      <c r="F5" s="2779"/>
      <c r="G5" s="2779"/>
      <c r="H5" s="2778">
        <v>1</v>
      </c>
      <c r="I5" s="1281"/>
      <c r="J5" s="1281"/>
      <c r="K5" s="1281"/>
      <c r="L5" s="1282"/>
      <c r="M5" s="1283"/>
      <c r="N5" s="1283"/>
      <c r="O5" s="1283"/>
      <c r="P5" s="289"/>
      <c r="Q5" s="287"/>
      <c r="R5" s="288"/>
      <c r="S5" s="1254" t="e">
        <f>INDEX(PT_DIFFERENTIATION_NUM_IST_TE,MATCH(D5,PT_DIFFERENTIATION_IST_TE_ID,0))</f>
        <v>#N/A</v>
      </c>
      <c r="T5" s="246" t="s">
        <v>403</v>
      </c>
      <c r="U5" s="236"/>
      <c r="V5" s="2766"/>
      <c r="W5" s="2767"/>
      <c r="X5" s="2767"/>
      <c r="Y5" s="2767"/>
      <c r="Z5" s="2767"/>
      <c r="AA5" s="2767"/>
      <c r="AB5" s="2767"/>
      <c r="AC5" s="2768"/>
      <c r="AD5" s="2766" t="e">
        <f>INDEX(PT_DIFFERENTIATION_IST_TE,MATCH(D5,PT_DIFFERENTIATION_IST_TE_ID,0))</f>
        <v>#N/A</v>
      </c>
      <c r="AE5" s="2767"/>
      <c r="AF5" s="2767"/>
      <c r="AG5" s="2767"/>
      <c r="AH5" s="2767"/>
      <c r="AI5" s="2767"/>
      <c r="AJ5" s="2767"/>
      <c r="AK5" s="2767"/>
      <c r="AL5" s="2768"/>
      <c r="AM5" s="1176" t="s">
        <v>404</v>
      </c>
      <c r="AO5" s="435"/>
      <c r="AP5" s="435" t="str">
        <f t="shared" si="0"/>
        <v xml:space="preserve">Источник тепловой энергии  </v>
      </c>
      <c r="AQ5" s="435"/>
      <c r="AR5" s="435"/>
      <c r="AS5" s="1073">
        <v>0</v>
      </c>
    </row>
    <row r="6" spans="1:45" ht="14.25" hidden="1" customHeight="1">
      <c r="A6" s="1281"/>
      <c r="B6" s="1281"/>
      <c r="C6" s="1281"/>
      <c r="D6" s="1281"/>
      <c r="E6" s="2779"/>
      <c r="F6" s="2779"/>
      <c r="G6" s="2779"/>
      <c r="H6" s="2779"/>
      <c r="I6" s="2776" t="e">
        <f>S5&amp;".1"</f>
        <v>#N/A</v>
      </c>
      <c r="J6" s="1281"/>
      <c r="K6" s="1281"/>
      <c r="L6" s="1282" t="s">
        <v>405</v>
      </c>
      <c r="M6" s="472"/>
      <c r="P6" s="2777">
        <v>1</v>
      </c>
      <c r="Q6" s="1249"/>
      <c r="R6" s="291"/>
      <c r="S6" s="964"/>
      <c r="T6" s="1301"/>
      <c r="U6" s="1302"/>
      <c r="V6" s="2795"/>
      <c r="W6" s="2796"/>
      <c r="X6" s="2796"/>
      <c r="Y6" s="2796"/>
      <c r="Z6" s="2796"/>
      <c r="AA6" s="2796"/>
      <c r="AB6" s="2796"/>
      <c r="AC6" s="2797"/>
      <c r="AD6" s="2795"/>
      <c r="AE6" s="2796"/>
      <c r="AF6" s="2796"/>
      <c r="AG6" s="2796"/>
      <c r="AH6" s="2796"/>
      <c r="AI6" s="2796"/>
      <c r="AJ6" s="2796"/>
      <c r="AK6" s="2796"/>
      <c r="AL6" s="2797"/>
      <c r="AM6" s="1303"/>
      <c r="AO6" s="435"/>
      <c r="AP6" s="435" t="str">
        <f t="shared" si="0"/>
        <v/>
      </c>
      <c r="AQ6" s="435"/>
      <c r="AR6" s="435"/>
      <c r="AS6" s="1073">
        <v>0</v>
      </c>
    </row>
    <row r="7" spans="1:45" ht="21" hidden="1" customHeight="1">
      <c r="A7" s="1281"/>
      <c r="B7" s="1281"/>
      <c r="C7" s="1281"/>
      <c r="D7" s="1281"/>
      <c r="E7" s="2779"/>
      <c r="F7" s="2779"/>
      <c r="G7" s="2779"/>
      <c r="H7" s="2779"/>
      <c r="I7" s="2787"/>
      <c r="J7" s="2776" t="e">
        <f>I6&amp;".1"</f>
        <v>#N/A</v>
      </c>
      <c r="K7" s="1281"/>
      <c r="L7" s="1282" t="s">
        <v>408</v>
      </c>
      <c r="M7" s="472"/>
      <c r="N7" s="1284"/>
      <c r="P7" s="2777"/>
      <c r="Q7" s="2777">
        <v>1</v>
      </c>
      <c r="R7" s="292"/>
      <c r="S7" s="1254" t="e">
        <f>$J7</f>
        <v>#N/A</v>
      </c>
      <c r="T7" s="222" t="s">
        <v>409</v>
      </c>
      <c r="U7" s="236"/>
      <c r="V7" s="2769"/>
      <c r="W7" s="2770"/>
      <c r="X7" s="2770"/>
      <c r="Y7" s="2770"/>
      <c r="Z7" s="2770"/>
      <c r="AA7" s="2770"/>
      <c r="AB7" s="2770"/>
      <c r="AC7" s="2771"/>
      <c r="AD7" s="2769"/>
      <c r="AE7" s="2770"/>
      <c r="AF7" s="2770"/>
      <c r="AG7" s="2770"/>
      <c r="AH7" s="2770"/>
      <c r="AI7" s="2770"/>
      <c r="AJ7" s="2770"/>
      <c r="AK7" s="2770"/>
      <c r="AL7" s="2771"/>
      <c r="AM7" s="1176" t="s">
        <v>410</v>
      </c>
      <c r="AO7" s="435"/>
      <c r="AP7" s="435" t="str">
        <f t="shared" si="0"/>
        <v>Группа потребителей</v>
      </c>
      <c r="AQ7" s="435"/>
      <c r="AR7" s="435"/>
      <c r="AS7" s="1073">
        <v>0</v>
      </c>
    </row>
    <row r="8" spans="1:45" ht="21" hidden="1" customHeight="1">
      <c r="A8" s="1281"/>
      <c r="B8" s="1281"/>
      <c r="C8" s="1281"/>
      <c r="D8" s="1281"/>
      <c r="E8" s="2779"/>
      <c r="F8" s="2779"/>
      <c r="G8" s="2779"/>
      <c r="H8" s="2779"/>
      <c r="I8" s="2787"/>
      <c r="J8" s="2787"/>
      <c r="K8" s="2776" t="e">
        <f>J7&amp;".1"</f>
        <v>#N/A</v>
      </c>
      <c r="L8" s="1282" t="s">
        <v>411</v>
      </c>
      <c r="M8" s="472"/>
      <c r="N8" s="1284"/>
      <c r="O8" s="1284"/>
      <c r="P8" s="2777"/>
      <c r="Q8" s="2777"/>
      <c r="R8" s="292">
        <v>1</v>
      </c>
      <c r="S8" s="1254" t="e">
        <f>$K8</f>
        <v>#N/A</v>
      </c>
      <c r="T8" s="1265"/>
      <c r="U8" s="236"/>
      <c r="V8" s="686"/>
      <c r="W8" s="261"/>
      <c r="X8" s="686"/>
      <c r="Y8" s="1175"/>
      <c r="Z8" s="2753"/>
      <c r="AA8" s="2619" t="s">
        <v>66</v>
      </c>
      <c r="AB8" s="2753"/>
      <c r="AC8" s="2619" t="s">
        <v>66</v>
      </c>
      <c r="AD8" s="686"/>
      <c r="AE8" s="261"/>
      <c r="AF8" s="686"/>
      <c r="AG8" s="1175"/>
      <c r="AH8" s="2753"/>
      <c r="AI8" s="2619" t="s">
        <v>66</v>
      </c>
      <c r="AJ8" s="2753"/>
      <c r="AK8" s="2619" t="s">
        <v>66</v>
      </c>
      <c r="AL8" s="261"/>
      <c r="AM8" s="2773" t="s">
        <v>412</v>
      </c>
      <c r="AN8" s="446" t="e">
        <f ca="1">STRCHECKDATE(V9:AL9)</f>
        <v>#NAME?</v>
      </c>
      <c r="AO8" s="435"/>
      <c r="AP8" s="435" t="str">
        <f t="shared" si="0"/>
        <v/>
      </c>
      <c r="AQ8" s="435"/>
      <c r="AR8" s="435"/>
      <c r="AS8" s="1073">
        <v>0</v>
      </c>
    </row>
    <row r="9" spans="1:45" ht="14.25" hidden="1" customHeight="1">
      <c r="A9" s="1281"/>
      <c r="B9" s="1281"/>
      <c r="C9" s="1281"/>
      <c r="D9" s="1281"/>
      <c r="E9" s="2779"/>
      <c r="F9" s="2779"/>
      <c r="G9" s="2779"/>
      <c r="H9" s="2779"/>
      <c r="I9" s="2787"/>
      <c r="J9" s="2787"/>
      <c r="K9" s="2776"/>
      <c r="L9" s="1282"/>
      <c r="M9" s="472"/>
      <c r="N9" s="1284"/>
      <c r="O9" s="1284"/>
      <c r="P9" s="2777"/>
      <c r="Q9" s="2777"/>
      <c r="R9" s="292"/>
      <c r="S9" s="1260"/>
      <c r="T9" s="236"/>
      <c r="U9" s="236"/>
      <c r="V9" s="261"/>
      <c r="W9" s="261"/>
      <c r="X9" s="261"/>
      <c r="Y9" s="264" t="str">
        <f>Z8&amp;"-"&amp;AB8</f>
        <v>-</v>
      </c>
      <c r="Z9" s="2752"/>
      <c r="AA9" s="2619"/>
      <c r="AB9" s="2752"/>
      <c r="AC9" s="2619"/>
      <c r="AD9" s="261"/>
      <c r="AE9" s="261"/>
      <c r="AF9" s="261"/>
      <c r="AG9" s="264" t="str">
        <f>AH8&amp;"-"&amp;AJ8</f>
        <v>-</v>
      </c>
      <c r="AH9" s="2752"/>
      <c r="AI9" s="2619"/>
      <c r="AJ9" s="2752"/>
      <c r="AK9" s="2619"/>
      <c r="AL9" s="261"/>
      <c r="AM9" s="2774"/>
      <c r="AO9" s="435"/>
      <c r="AP9" s="435" t="str">
        <f t="shared" si="0"/>
        <v/>
      </c>
      <c r="AQ9" s="435"/>
      <c r="AR9" s="435"/>
      <c r="AS9" s="1073">
        <v>0</v>
      </c>
    </row>
    <row r="10" spans="1:45" ht="15" hidden="1" customHeight="1">
      <c r="A10" s="1281"/>
      <c r="B10" s="1281"/>
      <c r="C10" s="1281"/>
      <c r="D10" s="1281"/>
      <c r="E10" s="2779"/>
      <c r="F10" s="2779"/>
      <c r="G10" s="2779"/>
      <c r="H10" s="2779"/>
      <c r="I10" s="2787"/>
      <c r="J10" s="2776"/>
      <c r="K10" s="1281"/>
      <c r="L10" s="1282"/>
      <c r="M10" s="472"/>
      <c r="N10" s="1284"/>
      <c r="P10" s="2777"/>
      <c r="Q10" s="2777"/>
      <c r="R10" s="291"/>
      <c r="S10" s="1196"/>
      <c r="T10" s="223" t="s">
        <v>413</v>
      </c>
      <c r="U10" s="302"/>
      <c r="V10" s="302"/>
      <c r="W10" s="302"/>
      <c r="X10" s="302"/>
      <c r="Y10" s="302"/>
      <c r="Z10" s="302"/>
      <c r="AA10" s="302"/>
      <c r="AB10" s="302"/>
      <c r="AC10" s="302"/>
      <c r="AD10" s="302"/>
      <c r="AE10" s="302"/>
      <c r="AF10" s="302"/>
      <c r="AG10" s="302"/>
      <c r="AH10" s="302"/>
      <c r="AI10" s="302"/>
      <c r="AJ10" s="302"/>
      <c r="AK10" s="302"/>
      <c r="AL10" s="260"/>
      <c r="AM10" s="2775"/>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779"/>
      <c r="F11" s="2779"/>
      <c r="G11" s="2779"/>
      <c r="H11" s="2779"/>
      <c r="I11" s="2776"/>
      <c r="J11" s="1281"/>
      <c r="K11" s="1281"/>
      <c r="L11" s="1282"/>
      <c r="M11" s="472"/>
      <c r="P11" s="2777"/>
      <c r="Q11" s="1249"/>
      <c r="R11" s="291"/>
      <c r="S11" s="1196"/>
      <c r="T11" s="300" t="s">
        <v>414</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779"/>
      <c r="F12" s="2779"/>
      <c r="G12" s="2779"/>
      <c r="H12" s="2778"/>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520" customFormat="1" ht="14.25" hidden="1" customHeight="1">
      <c r="A13" s="1232"/>
      <c r="B13" s="1232"/>
      <c r="C13" s="1232"/>
      <c r="D13" s="1232"/>
      <c r="E13" s="2779"/>
      <c r="F13" s="2779"/>
      <c r="G13" s="2778"/>
      <c r="H13" s="1232"/>
      <c r="I13" s="1232"/>
      <c r="J13" s="1232"/>
      <c r="K13" s="1232"/>
      <c r="L13" s="1257"/>
      <c r="M13" s="1233"/>
      <c r="N13" s="1233"/>
      <c r="P13" s="1234"/>
      <c r="Q13" s="1235"/>
      <c r="R13" s="1234"/>
      <c r="S13" s="1236"/>
      <c r="T13" s="1237" t="s">
        <v>160</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520" customFormat="1" ht="14.25" hidden="1" customHeight="1">
      <c r="A14" s="1232"/>
      <c r="B14" s="1232"/>
      <c r="C14" s="1232"/>
      <c r="D14" s="1232"/>
      <c r="E14" s="2779"/>
      <c r="F14" s="2778"/>
      <c r="G14" s="1232"/>
      <c r="H14" s="1232"/>
      <c r="I14" s="1232"/>
      <c r="J14" s="1232"/>
      <c r="K14" s="1232"/>
      <c r="L14" s="1257"/>
      <c r="M14" s="1239"/>
      <c r="N14" s="1239"/>
      <c r="P14" s="1234"/>
      <c r="Q14" s="1235"/>
      <c r="R14" s="1234"/>
      <c r="S14" s="1240"/>
      <c r="T14" s="1241" t="s">
        <v>161</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520" customFormat="1" ht="14.25" hidden="1" customHeight="1">
      <c r="A15" s="1232"/>
      <c r="B15" s="1232"/>
      <c r="C15" s="1232"/>
      <c r="D15" s="1232"/>
      <c r="E15" s="2778"/>
      <c r="F15" s="1232"/>
      <c r="G15" s="1232"/>
      <c r="H15" s="1232"/>
      <c r="I15" s="1232"/>
      <c r="J15" s="1232"/>
      <c r="K15" s="1232"/>
      <c r="L15" s="1257"/>
      <c r="M15" s="1239"/>
      <c r="N15" s="1239"/>
      <c r="P15" s="1234"/>
      <c r="Q15" s="1235"/>
      <c r="R15" s="1234"/>
      <c r="S15" s="1240"/>
      <c r="T15" s="1243" t="s">
        <v>162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780"/>
      <c r="AI17" s="2781" t="s">
        <v>66</v>
      </c>
      <c r="AJ17" s="2780"/>
      <c r="AK17" s="2781" t="s">
        <v>66</v>
      </c>
      <c r="AS17" s="1073">
        <v>0</v>
      </c>
    </row>
    <row r="18" spans="1:45" ht="14.25" hidden="1" customHeight="1">
      <c r="AD18" s="1278"/>
      <c r="AE18" s="1278"/>
      <c r="AF18" s="1278"/>
      <c r="AG18" s="264" t="str">
        <f>AH17&amp;"-"&amp;AJ17</f>
        <v>-</v>
      </c>
      <c r="AH18" s="2781"/>
      <c r="AI18" s="2781"/>
      <c r="AJ18" s="2781"/>
      <c r="AK18" s="2781"/>
      <c r="AS18" s="1073">
        <v>0</v>
      </c>
    </row>
    <row r="19" spans="1:45" ht="14.25" hidden="1" customHeight="1">
      <c r="AK19" s="263"/>
      <c r="AS19" s="1073">
        <v>0</v>
      </c>
    </row>
    <row r="20" spans="1:45" s="2519"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51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519"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74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49"/>
      <c r="U26" s="2749"/>
      <c r="V26" s="2749"/>
      <c r="W26" s="2749"/>
      <c r="X26" s="2749"/>
      <c r="Y26" s="2749"/>
      <c r="Z26" s="2749"/>
      <c r="AA26" s="2749"/>
      <c r="AB26" s="2749"/>
      <c r="AC26" s="2749"/>
      <c r="AD26" s="2749"/>
      <c r="AE26" s="2749"/>
      <c r="AF26" s="2749"/>
      <c r="AG26" s="2749"/>
      <c r="AH26" s="2749"/>
      <c r="AI26" s="2749"/>
      <c r="AJ26" s="2749"/>
      <c r="AK26" s="1161"/>
      <c r="AS26" s="1073">
        <v>51</v>
      </c>
    </row>
    <row r="27" spans="1:45" ht="14.65" customHeight="1">
      <c r="Q27" s="311"/>
      <c r="R27" s="311"/>
      <c r="S27" s="2696" t="str">
        <f>IF(org=0,"Не определено",org)</f>
        <v>ООО "Ноябрьская ПГЭ"</v>
      </c>
      <c r="T27" s="2696"/>
      <c r="U27" s="2696"/>
      <c r="V27" s="2696"/>
      <c r="W27" s="2696"/>
      <c r="X27" s="2696"/>
      <c r="Y27" s="2696"/>
      <c r="Z27" s="2696"/>
      <c r="AA27" s="2696"/>
      <c r="AB27" s="2696"/>
      <c r="AC27" s="2696"/>
      <c r="AD27" s="2696"/>
      <c r="AE27" s="2696"/>
      <c r="AF27" s="2696"/>
      <c r="AG27" s="2696"/>
      <c r="AH27" s="2696"/>
      <c r="AI27" s="2696"/>
      <c r="AJ27" s="2696"/>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529" customFormat="1" ht="25.5" hidden="1" customHeight="1">
      <c r="A29" s="1286"/>
      <c r="B29" s="1286"/>
      <c r="C29" s="1286"/>
      <c r="D29" s="1286"/>
      <c r="E29" s="1286"/>
      <c r="F29" s="1286"/>
      <c r="G29" s="1286"/>
      <c r="H29" s="1286"/>
      <c r="I29" s="1286"/>
      <c r="J29" s="1286"/>
      <c r="K29" s="1286"/>
      <c r="L29" s="1287"/>
      <c r="M29" s="1286"/>
      <c r="N29" s="1286"/>
      <c r="O29" s="1286"/>
      <c r="S29" s="2772" t="s">
        <v>42</v>
      </c>
      <c r="T29" s="2772"/>
      <c r="U29" s="1290"/>
      <c r="V29" s="2754" t="str">
        <f>IF(TITLE_NAME_OR_PR_CHANGE="",IF(TITLE_NAME_OR_PR="","",TITLE_NAME_OR_PR),TITLE_NAME_OR_PR_CHANGE)</f>
        <v/>
      </c>
      <c r="W29" s="2754"/>
      <c r="X29" s="2754"/>
      <c r="Y29" s="2754"/>
      <c r="Z29" s="2754"/>
      <c r="AA29" s="2754"/>
      <c r="AB29" s="2754"/>
      <c r="AC29" s="262"/>
      <c r="AD29" s="2754" t="str">
        <f>IF(TITLE_NAME_OR_PR_CHANGE="",IF(TITLE_NAME_OR_PR="","",TITLE_NAME_OR_PR),TITLE_NAME_OR_PR_CHANGE)</f>
        <v/>
      </c>
      <c r="AE29" s="2754"/>
      <c r="AF29" s="2754"/>
      <c r="AG29" s="2754"/>
      <c r="AH29" s="2754"/>
      <c r="AI29" s="2754"/>
      <c r="AJ29" s="2754"/>
      <c r="AK29" s="262"/>
      <c r="AL29" s="262"/>
      <c r="AM29" s="216"/>
      <c r="AN29" s="303"/>
      <c r="AO29" s="303"/>
      <c r="AP29" s="303"/>
      <c r="AQ29" s="303"/>
      <c r="AR29" s="303"/>
      <c r="AS29" s="353">
        <v>0</v>
      </c>
    </row>
    <row r="30" spans="1:45" s="2529" customFormat="1" ht="18.75" hidden="1" customHeight="1">
      <c r="A30" s="1286"/>
      <c r="B30" s="1286"/>
      <c r="C30" s="1286"/>
      <c r="D30" s="1286"/>
      <c r="E30" s="1286"/>
      <c r="F30" s="1286"/>
      <c r="G30" s="1286"/>
      <c r="H30" s="1286"/>
      <c r="I30" s="1286"/>
      <c r="J30" s="1286"/>
      <c r="K30" s="1286"/>
      <c r="L30" s="1287"/>
      <c r="M30" s="1286"/>
      <c r="N30" s="1286"/>
      <c r="O30" s="1286"/>
      <c r="S30" s="2772" t="s">
        <v>422</v>
      </c>
      <c r="T30" s="2772"/>
      <c r="U30" s="1290"/>
      <c r="V30" s="2755">
        <f>IF(TITLE_DATE_PR_CHANGE="",IF(TITLE_DATE_PR="","",TITLE_DATE_PR),TITLE_DATE_PR_CHANGE)</f>
        <v>45583</v>
      </c>
      <c r="W30" s="2755"/>
      <c r="X30" s="2755"/>
      <c r="Y30" s="2755"/>
      <c r="Z30" s="2755"/>
      <c r="AA30" s="2755"/>
      <c r="AB30" s="2755"/>
      <c r="AC30" s="262"/>
      <c r="AD30" s="2755">
        <f>IF(TITLE_DATE_PR_CHANGE="",IF(TITLE_DATE_PR="","",TITLE_DATE_PR),TITLE_DATE_PR_CHANGE)</f>
        <v>45583</v>
      </c>
      <c r="AE30" s="2755"/>
      <c r="AF30" s="2755"/>
      <c r="AG30" s="2755"/>
      <c r="AH30" s="2755"/>
      <c r="AI30" s="2755"/>
      <c r="AJ30" s="2755"/>
      <c r="AK30" s="262"/>
      <c r="AL30" s="262"/>
      <c r="AM30" s="216"/>
      <c r="AN30" s="303"/>
      <c r="AO30" s="303"/>
      <c r="AP30" s="303"/>
      <c r="AQ30" s="303"/>
      <c r="AR30" s="303"/>
      <c r="AS30" s="353">
        <v>0</v>
      </c>
    </row>
    <row r="31" spans="1:45" s="2529" customFormat="1" ht="18.75" hidden="1" customHeight="1">
      <c r="A31" s="1286"/>
      <c r="B31" s="1286"/>
      <c r="C31" s="1286"/>
      <c r="D31" s="1286"/>
      <c r="E31" s="1286"/>
      <c r="F31" s="1286"/>
      <c r="G31" s="1286"/>
      <c r="H31" s="1286"/>
      <c r="I31" s="1286"/>
      <c r="J31" s="1286"/>
      <c r="K31" s="1286"/>
      <c r="L31" s="1287"/>
      <c r="M31" s="1286"/>
      <c r="N31" s="1286"/>
      <c r="O31" s="1286"/>
      <c r="S31" s="2772" t="s">
        <v>423</v>
      </c>
      <c r="T31" s="2772"/>
      <c r="U31" s="1290"/>
      <c r="V31" s="2754" t="str">
        <f>IF(TITLE_NUMBER_PR_CHANGE="",IF(TITLE_NUMBER_PR="","",TITLE_NUMBER_PR),TITLE_NUMBER_PR_CHANGE)</f>
        <v>18-3341</v>
      </c>
      <c r="W31" s="2754"/>
      <c r="X31" s="2754"/>
      <c r="Y31" s="2754"/>
      <c r="Z31" s="2754"/>
      <c r="AA31" s="2754"/>
      <c r="AB31" s="2754"/>
      <c r="AC31" s="262"/>
      <c r="AD31" s="2754" t="str">
        <f>IF(TITLE_NUMBER_PR_CHANGE="",IF(TITLE_NUMBER_PR="","",TITLE_NUMBER_PR),TITLE_NUMBER_PR_CHANGE)</f>
        <v>18-3341</v>
      </c>
      <c r="AE31" s="2754"/>
      <c r="AF31" s="2754"/>
      <c r="AG31" s="2754"/>
      <c r="AH31" s="2754"/>
      <c r="AI31" s="2754"/>
      <c r="AJ31" s="2754"/>
      <c r="AK31" s="262"/>
      <c r="AL31" s="262"/>
      <c r="AM31" s="216"/>
      <c r="AN31" s="303"/>
      <c r="AO31" s="303"/>
      <c r="AP31" s="303"/>
      <c r="AQ31" s="303"/>
      <c r="AR31" s="303"/>
      <c r="AS31" s="353">
        <v>0</v>
      </c>
    </row>
    <row r="32" spans="1:45" s="2529" customFormat="1" ht="18.75" hidden="1" customHeight="1">
      <c r="A32" s="1286"/>
      <c r="B32" s="1286"/>
      <c r="C32" s="1286"/>
      <c r="D32" s="1286"/>
      <c r="E32" s="1286"/>
      <c r="F32" s="1286"/>
      <c r="G32" s="1286"/>
      <c r="H32" s="1286"/>
      <c r="I32" s="1286"/>
      <c r="J32" s="1286"/>
      <c r="K32" s="1286"/>
      <c r="L32" s="1287"/>
      <c r="M32" s="1286"/>
      <c r="N32" s="1286"/>
      <c r="O32" s="1286"/>
      <c r="S32" s="2772" t="s">
        <v>43</v>
      </c>
      <c r="T32" s="2772"/>
      <c r="U32" s="1290"/>
      <c r="V32" s="2754" t="str">
        <f>IF(TITLE_IST_PUB_CHANGE="",IF(TITLE_IST_PUB="","",TITLE_IST_PUB),TITLE_IST_PUB_CHANGE)</f>
        <v/>
      </c>
      <c r="W32" s="2754"/>
      <c r="X32" s="2754"/>
      <c r="Y32" s="2754"/>
      <c r="Z32" s="2754"/>
      <c r="AA32" s="2754"/>
      <c r="AB32" s="2754"/>
      <c r="AC32" s="262"/>
      <c r="AD32" s="2754" t="str">
        <f>IF(TITLE_IST_PUB_CHANGE="",IF(TITLE_IST_PUB="","",TITLE_IST_PUB),TITLE_IST_PUB_CHANGE)</f>
        <v/>
      </c>
      <c r="AE32" s="2754"/>
      <c r="AF32" s="2754"/>
      <c r="AG32" s="2754"/>
      <c r="AH32" s="2754"/>
      <c r="AI32" s="2754"/>
      <c r="AJ32" s="2754"/>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529" customFormat="1" ht="18.75" customHeight="1">
      <c r="A34" s="1286"/>
      <c r="B34" s="1286"/>
      <c r="C34" s="1286"/>
      <c r="D34" s="1286"/>
      <c r="E34" s="1286"/>
      <c r="F34" s="1286"/>
      <c r="G34" s="1286"/>
      <c r="H34" s="1286"/>
      <c r="I34" s="1286"/>
      <c r="J34" s="1286"/>
      <c r="K34" s="1286"/>
      <c r="L34" s="1287"/>
      <c r="M34" s="1286"/>
      <c r="N34" s="1286"/>
      <c r="O34" s="1286"/>
      <c r="S34" s="2772" t="s">
        <v>424</v>
      </c>
      <c r="T34" s="2772"/>
      <c r="U34" s="1290"/>
      <c r="V34" s="2755">
        <f>IF(TITLE_DATE_PR_CHANGE="",IF(TITLE_DATE_PR="","",TITLE_DATE_PR),TITLE_DATE_PR_CHANGE)</f>
        <v>45583</v>
      </c>
      <c r="W34" s="2755"/>
      <c r="X34" s="2755"/>
      <c r="Y34" s="2755"/>
      <c r="Z34" s="2755"/>
      <c r="AA34" s="2755"/>
      <c r="AB34" s="2755"/>
      <c r="AC34" s="262"/>
      <c r="AD34" s="2755">
        <f>IF(TITLE_DATE_PR_CHANGE="",IF(TITLE_DATE_PR="","",TITLE_DATE_PR),TITLE_DATE_PR_CHANGE)</f>
        <v>45583</v>
      </c>
      <c r="AE34" s="2755"/>
      <c r="AF34" s="2755"/>
      <c r="AG34" s="2755"/>
      <c r="AH34" s="2755"/>
      <c r="AI34" s="2755"/>
      <c r="AJ34" s="2755"/>
      <c r="AK34" s="262"/>
      <c r="AL34" s="262"/>
      <c r="AM34" s="216"/>
      <c r="AN34" s="303"/>
      <c r="AO34" s="303"/>
      <c r="AP34" s="303"/>
      <c r="AQ34" s="303"/>
      <c r="AR34" s="303"/>
      <c r="AS34" s="353">
        <v>0</v>
      </c>
    </row>
    <row r="35" spans="1:45" s="2529" customFormat="1" ht="25.5" customHeight="1">
      <c r="A35" s="1286"/>
      <c r="B35" s="1286"/>
      <c r="C35" s="1286"/>
      <c r="D35" s="1286"/>
      <c r="E35" s="1286"/>
      <c r="F35" s="1286"/>
      <c r="G35" s="1286"/>
      <c r="H35" s="1286"/>
      <c r="I35" s="1286"/>
      <c r="J35" s="1286"/>
      <c r="K35" s="1286"/>
      <c r="L35" s="1287"/>
      <c r="M35" s="1286"/>
      <c r="N35" s="1286"/>
      <c r="O35" s="1286"/>
      <c r="S35" s="2772" t="s">
        <v>425</v>
      </c>
      <c r="T35" s="2772"/>
      <c r="U35" s="1290"/>
      <c r="V35" s="2754" t="str">
        <f>IF(TITLE_NUMBER_PR_CHANGE="",IF(TITLE_NUMBER_PR="","",TITLE_NUMBER_PR),TITLE_NUMBER_PR_CHANGE)</f>
        <v>18-3341</v>
      </c>
      <c r="W35" s="2754"/>
      <c r="X35" s="2754"/>
      <c r="Y35" s="2754"/>
      <c r="Z35" s="2754"/>
      <c r="AA35" s="2754"/>
      <c r="AB35" s="2754"/>
      <c r="AC35" s="262"/>
      <c r="AD35" s="2754" t="str">
        <f>IF(TITLE_NUMBER_PR_CHANGE="",IF(TITLE_NUMBER_PR="","",TITLE_NUMBER_PR),TITLE_NUMBER_PR_CHANGE)</f>
        <v>18-3341</v>
      </c>
      <c r="AE35" s="2754"/>
      <c r="AF35" s="2754"/>
      <c r="AG35" s="2754"/>
      <c r="AH35" s="2754"/>
      <c r="AI35" s="2754"/>
      <c r="AJ35" s="2754"/>
      <c r="AK35" s="262"/>
      <c r="AL35" s="262"/>
      <c r="AM35" s="216"/>
      <c r="AN35" s="303"/>
      <c r="AO35" s="303"/>
      <c r="AP35" s="303"/>
      <c r="AQ35" s="303"/>
      <c r="AR35" s="303"/>
      <c r="AS35" s="353">
        <v>0</v>
      </c>
    </row>
    <row r="36" spans="1:45" s="2529"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65" customHeight="1">
      <c r="Q37" s="311"/>
      <c r="R37" s="311"/>
      <c r="S37" s="1193"/>
      <c r="T37" s="298"/>
      <c r="U37" s="1162"/>
      <c r="V37" s="2756"/>
      <c r="W37" s="2756"/>
      <c r="X37" s="2756"/>
      <c r="Y37" s="2756"/>
      <c r="Z37" s="2756"/>
      <c r="AA37" s="2756"/>
      <c r="AB37" s="2756"/>
      <c r="AC37" s="2756"/>
      <c r="AD37" s="2756"/>
      <c r="AE37" s="2756"/>
      <c r="AF37" s="2756"/>
      <c r="AG37" s="2756"/>
      <c r="AH37" s="2756"/>
      <c r="AI37" s="2756"/>
      <c r="AJ37" s="2756"/>
      <c r="AK37" s="2756"/>
      <c r="AS37" s="1073">
        <v>14</v>
      </c>
    </row>
    <row r="38" spans="1:45" ht="14.65" customHeight="1">
      <c r="Q38" s="311"/>
      <c r="R38" s="311"/>
      <c r="S38" s="2638" t="s">
        <v>302</v>
      </c>
      <c r="T38" s="2638"/>
      <c r="U38" s="2638"/>
      <c r="V38" s="2638"/>
      <c r="W38" s="2638"/>
      <c r="X38" s="2638"/>
      <c r="Y38" s="2638"/>
      <c r="Z38" s="2638"/>
      <c r="AA38" s="2638"/>
      <c r="AB38" s="2638"/>
      <c r="AC38" s="2638"/>
      <c r="AD38" s="2638"/>
      <c r="AE38" s="2638"/>
      <c r="AF38" s="2638"/>
      <c r="AG38" s="2638"/>
      <c r="AH38" s="2638"/>
      <c r="AI38" s="2638"/>
      <c r="AJ38" s="2638"/>
      <c r="AK38" s="2638"/>
      <c r="AL38" s="2638"/>
      <c r="AM38" s="2638" t="s">
        <v>303</v>
      </c>
      <c r="AS38" s="1073">
        <v>14</v>
      </c>
    </row>
    <row r="39" spans="1:45" ht="14.65" customHeight="1">
      <c r="Q39" s="311"/>
      <c r="R39" s="311"/>
      <c r="S39" s="2782" t="s">
        <v>87</v>
      </c>
      <c r="T39" s="2724" t="s">
        <v>428</v>
      </c>
      <c r="U39" s="237"/>
      <c r="V39" s="2757" t="s">
        <v>429</v>
      </c>
      <c r="W39" s="2758"/>
      <c r="X39" s="2758"/>
      <c r="Y39" s="2758"/>
      <c r="Z39" s="2758"/>
      <c r="AA39" s="2758"/>
      <c r="AB39" s="2759"/>
      <c r="AC39" s="2760" t="s">
        <v>430</v>
      </c>
      <c r="AD39" s="2757" t="s">
        <v>429</v>
      </c>
      <c r="AE39" s="2758"/>
      <c r="AF39" s="2758"/>
      <c r="AG39" s="2758"/>
      <c r="AH39" s="2758"/>
      <c r="AI39" s="2758"/>
      <c r="AJ39" s="2759"/>
      <c r="AK39" s="2760" t="s">
        <v>431</v>
      </c>
      <c r="AL39" s="2783" t="s">
        <v>432</v>
      </c>
      <c r="AM39" s="2638"/>
      <c r="AS39" s="1073">
        <v>14</v>
      </c>
    </row>
    <row r="40" spans="1:45" ht="35.65" customHeight="1">
      <c r="Q40" s="311"/>
      <c r="R40" s="311"/>
      <c r="S40" s="2782"/>
      <c r="T40" s="2724"/>
      <c r="U40" s="953"/>
      <c r="V40" s="2695" t="s">
        <v>433</v>
      </c>
      <c r="W40" s="2763"/>
      <c r="X40" s="2610" t="s">
        <v>435</v>
      </c>
      <c r="Y40" s="2609"/>
      <c r="Z40" s="2610" t="s">
        <v>436</v>
      </c>
      <c r="AA40" s="2615"/>
      <c r="AB40" s="2609"/>
      <c r="AC40" s="2761"/>
      <c r="AD40" s="2695" t="s">
        <v>452</v>
      </c>
      <c r="AE40" s="2763"/>
      <c r="AF40" s="2610" t="s">
        <v>435</v>
      </c>
      <c r="AG40" s="2609"/>
      <c r="AH40" s="2610" t="s">
        <v>436</v>
      </c>
      <c r="AI40" s="2615"/>
      <c r="AJ40" s="2609"/>
      <c r="AK40" s="2761"/>
      <c r="AL40" s="2784"/>
      <c r="AM40" s="2638"/>
      <c r="AS40" s="1073">
        <v>34</v>
      </c>
    </row>
    <row r="41" spans="1:45" ht="35.65" customHeight="1">
      <c r="A41" s="1288"/>
      <c r="B41" s="1288" t="s">
        <v>134</v>
      </c>
      <c r="C41" s="1288" t="s">
        <v>135</v>
      </c>
      <c r="D41" s="1288" t="s">
        <v>136</v>
      </c>
      <c r="E41" s="1282" t="s">
        <v>437</v>
      </c>
      <c r="F41" s="1282" t="s">
        <v>438</v>
      </c>
      <c r="G41" s="1282" t="s">
        <v>439</v>
      </c>
      <c r="H41" s="1282" t="s">
        <v>440</v>
      </c>
      <c r="I41" s="1282" t="s">
        <v>441</v>
      </c>
      <c r="J41" s="1282" t="s">
        <v>442</v>
      </c>
      <c r="K41" s="1282" t="s">
        <v>443</v>
      </c>
      <c r="L41" s="1282" t="s">
        <v>417</v>
      </c>
      <c r="Q41" s="311"/>
      <c r="R41" s="311"/>
      <c r="S41" s="2782"/>
      <c r="T41" s="2724"/>
      <c r="U41" s="238"/>
      <c r="V41" s="2744"/>
      <c r="W41" s="2764"/>
      <c r="X41" s="1140" t="s">
        <v>444</v>
      </c>
      <c r="Y41" s="1140" t="s">
        <v>445</v>
      </c>
      <c r="Z41" s="1256" t="s">
        <v>446</v>
      </c>
      <c r="AA41" s="2733" t="s">
        <v>447</v>
      </c>
      <c r="AB41" s="2735"/>
      <c r="AC41" s="2762"/>
      <c r="AD41" s="2744"/>
      <c r="AE41" s="2764"/>
      <c r="AF41" s="1140" t="s">
        <v>444</v>
      </c>
      <c r="AG41" s="1140" t="s">
        <v>445</v>
      </c>
      <c r="AH41" s="1256" t="s">
        <v>446</v>
      </c>
      <c r="AI41" s="2733" t="s">
        <v>447</v>
      </c>
      <c r="AJ41" s="2735"/>
      <c r="AK41" s="2762"/>
      <c r="AL41" s="2785"/>
      <c r="AM41" s="2638"/>
      <c r="AS41" s="1073">
        <v>34</v>
      </c>
    </row>
    <row r="42" spans="1:45" s="254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108</v>
      </c>
      <c r="T42" s="1173" t="s">
        <v>109</v>
      </c>
      <c r="U42" s="1163" t="str">
        <f ca="1">OFFSET(U42,0,-1)</f>
        <v>2</v>
      </c>
      <c r="V42" s="1253">
        <f ca="1">OFFSET(V42,0,-1)+1</f>
        <v>3</v>
      </c>
      <c r="W42" s="1253"/>
      <c r="X42" s="1253">
        <f ca="1">OFFSET(X42,0,-1)+1</f>
        <v>1</v>
      </c>
      <c r="Y42" s="1253">
        <f ca="1">OFFSET(Y42,0,-1)+1</f>
        <v>2</v>
      </c>
      <c r="Z42" s="1253">
        <f ca="1">OFFSET(Z42,0,-1)+1</f>
        <v>3</v>
      </c>
      <c r="AA42" s="2765">
        <f ca="1">OFFSET(AA42,0,-1)+1</f>
        <v>4</v>
      </c>
      <c r="AB42" s="2765"/>
      <c r="AC42" s="1253">
        <f ca="1">OFFSET(AC42,0,-2)+1</f>
        <v>5</v>
      </c>
      <c r="AD42" s="1253">
        <f ca="1">OFFSET(AD42,0,-1)+1</f>
        <v>6</v>
      </c>
      <c r="AE42" s="1253"/>
      <c r="AF42" s="1253">
        <f ca="1">OFFSET(AF42,0,-1)+1</f>
        <v>1</v>
      </c>
      <c r="AG42" s="1253">
        <f ca="1">OFFSET(AG42,0,-1)+1</f>
        <v>2</v>
      </c>
      <c r="AH42" s="1253">
        <f ca="1">OFFSET(AH42,0,-1)+1</f>
        <v>3</v>
      </c>
      <c r="AI42" s="2765">
        <f ca="1">OFFSET(AI42,0,-1)+1</f>
        <v>4</v>
      </c>
      <c r="AJ42" s="2765"/>
      <c r="AK42" s="1253">
        <f ca="1">OFFSET(AK42,0,-2)+1</f>
        <v>5</v>
      </c>
      <c r="AL42" s="1163">
        <f ca="1">OFFSET(AL42,0,-1)</f>
        <v>5</v>
      </c>
      <c r="AM42" s="1253">
        <f ca="1">OFFSET(AM42,0,-1)+1</f>
        <v>6</v>
      </c>
      <c r="AN42" s="446"/>
      <c r="AO42" s="446"/>
      <c r="AP42" s="446"/>
      <c r="AQ42" s="446"/>
      <c r="AR42" s="446"/>
      <c r="AS42" s="431">
        <v>0</v>
      </c>
    </row>
    <row r="43" spans="1:45" ht="21.95" customHeight="1">
      <c r="A43" s="1281" t="s">
        <v>190</v>
      </c>
      <c r="B43" s="1281"/>
      <c r="C43" s="1281"/>
      <c r="D43" s="1281"/>
      <c r="E43" s="2778">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122</v>
      </c>
      <c r="U43" s="236"/>
      <c r="V43" s="2766"/>
      <c r="W43" s="2767"/>
      <c r="X43" s="2767"/>
      <c r="Y43" s="2767"/>
      <c r="Z43" s="2767"/>
      <c r="AA43" s="2767"/>
      <c r="AB43" s="2767"/>
      <c r="AC43" s="2768"/>
      <c r="AD43" s="2766" t="str">
        <f>INDEX(PT_DIFFERENTIATION_NTAR,MATCH(A43,PT_DIFFERENTIATION_NTAR_ID,0))</f>
        <v/>
      </c>
      <c r="AE43" s="2767"/>
      <c r="AF43" s="2767"/>
      <c r="AG43" s="2767"/>
      <c r="AH43" s="2767"/>
      <c r="AI43" s="2767"/>
      <c r="AJ43" s="2767"/>
      <c r="AK43" s="2767"/>
      <c r="AL43" s="276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190</v>
      </c>
      <c r="B44" s="1281" t="s">
        <v>191</v>
      </c>
      <c r="C44" s="1281"/>
      <c r="D44" s="1281"/>
      <c r="E44" s="2779"/>
      <c r="F44" s="2778">
        <v>1</v>
      </c>
      <c r="G44" s="1281"/>
      <c r="H44" s="1281"/>
      <c r="I44" s="1281"/>
      <c r="J44" s="1281"/>
      <c r="K44" s="1281"/>
      <c r="L44" s="1282"/>
      <c r="M44" s="1283"/>
      <c r="N44" s="1283"/>
      <c r="O44" s="1283"/>
      <c r="P44" s="1250"/>
      <c r="Q44" s="287"/>
      <c r="R44" s="288"/>
      <c r="S44" s="1254" t="str">
        <f>INDEX(PT_DIFFERENTIATION_NUM_TER,MATCH(B44,PT_DIFFERENTIATION_TER_ID,0))</f>
        <v>.</v>
      </c>
      <c r="T44" s="244" t="s">
        <v>399</v>
      </c>
      <c r="U44" s="236"/>
      <c r="V44" s="2766"/>
      <c r="W44" s="2767"/>
      <c r="X44" s="2767"/>
      <c r="Y44" s="2767"/>
      <c r="Z44" s="2767"/>
      <c r="AA44" s="2767"/>
      <c r="AB44" s="2767"/>
      <c r="AC44" s="2768"/>
      <c r="AD44" s="2766" t="str">
        <f>INDEX(PT_DIFFERENTIATION_TER,MATCH(B44,PT_DIFFERENTIATION_TER_ID,0))</f>
        <v/>
      </c>
      <c r="AE44" s="2767"/>
      <c r="AF44" s="2767"/>
      <c r="AG44" s="2767"/>
      <c r="AH44" s="2767"/>
      <c r="AI44" s="2767"/>
      <c r="AJ44" s="2767"/>
      <c r="AK44" s="2767"/>
      <c r="AL44" s="2768"/>
      <c r="AM44" s="1176" t="s">
        <v>400</v>
      </c>
      <c r="AO44" s="435"/>
      <c r="AP44" s="435" t="str">
        <f t="shared" si="1"/>
        <v>Территория действия тарифа</v>
      </c>
      <c r="AQ44" s="435"/>
      <c r="AR44" s="435"/>
      <c r="AS44" s="1073">
        <v>21</v>
      </c>
    </row>
    <row r="45" spans="1:45" ht="24" customHeight="1">
      <c r="A45" s="1281" t="s">
        <v>190</v>
      </c>
      <c r="B45" s="1281" t="s">
        <v>191</v>
      </c>
      <c r="C45" s="1281" t="s">
        <v>192</v>
      </c>
      <c r="D45" s="1281"/>
      <c r="E45" s="2779"/>
      <c r="F45" s="2779"/>
      <c r="G45" s="2778">
        <v>1</v>
      </c>
      <c r="H45" s="1281"/>
      <c r="I45" s="1281"/>
      <c r="J45" s="1281"/>
      <c r="K45" s="1281"/>
      <c r="L45" s="1282"/>
      <c r="M45" s="1283"/>
      <c r="N45" s="1283"/>
      <c r="O45" s="1283"/>
      <c r="P45" s="289"/>
      <c r="Q45" s="287"/>
      <c r="R45" s="288"/>
      <c r="S45" s="1254" t="str">
        <f>INDEX(PT_DIFFERENTIATION_NUM_CS,MATCH(C45,PT_DIFFERENTIATION_CS_ID,0))</f>
        <v>..</v>
      </c>
      <c r="T45" s="245" t="s">
        <v>401</v>
      </c>
      <c r="U45" s="236"/>
      <c r="V45" s="2766"/>
      <c r="W45" s="2767"/>
      <c r="X45" s="2767"/>
      <c r="Y45" s="2767"/>
      <c r="Z45" s="2767"/>
      <c r="AA45" s="2767"/>
      <c r="AB45" s="2767"/>
      <c r="AC45" s="2768"/>
      <c r="AD45" s="2766" t="str">
        <f>INDEX(PT_DIFFERENTIATION_CS,MATCH(C45,PT_DIFFERENTIATION_CS_ID,0))</f>
        <v/>
      </c>
      <c r="AE45" s="2767"/>
      <c r="AF45" s="2767"/>
      <c r="AG45" s="2767"/>
      <c r="AH45" s="2767"/>
      <c r="AI45" s="2767"/>
      <c r="AJ45" s="2767"/>
      <c r="AK45" s="2767"/>
      <c r="AL45" s="2768"/>
      <c r="AM45" s="1176" t="s">
        <v>402</v>
      </c>
      <c r="AO45" s="435"/>
      <c r="AP45" s="435" t="str">
        <f t="shared" si="1"/>
        <v xml:space="preserve">Наименование системы теплоснабжения </v>
      </c>
      <c r="AQ45" s="435"/>
      <c r="AR45" s="435"/>
      <c r="AS45" s="1073">
        <v>23</v>
      </c>
    </row>
    <row r="46" spans="1:45" ht="21.95" customHeight="1">
      <c r="A46" s="1281" t="s">
        <v>190</v>
      </c>
      <c r="B46" s="1281" t="s">
        <v>191</v>
      </c>
      <c r="C46" s="1281" t="s">
        <v>192</v>
      </c>
      <c r="D46" s="1281" t="s">
        <v>193</v>
      </c>
      <c r="E46" s="2779"/>
      <c r="F46" s="2779"/>
      <c r="G46" s="2779"/>
      <c r="H46" s="2778">
        <v>1</v>
      </c>
      <c r="I46" s="1281"/>
      <c r="J46" s="1281"/>
      <c r="K46" s="1281"/>
      <c r="L46" s="1282"/>
      <c r="M46" s="1283"/>
      <c r="N46" s="1283"/>
      <c r="O46" s="1283"/>
      <c r="P46" s="289"/>
      <c r="Q46" s="287"/>
      <c r="R46" s="288"/>
      <c r="S46" s="1254" t="str">
        <f>INDEX(PT_DIFFERENTIATION_NUM_IST_TE,MATCH(D46,PT_DIFFERENTIATION_IST_TE_ID,0))</f>
        <v>...</v>
      </c>
      <c r="T46" s="246" t="s">
        <v>403</v>
      </c>
      <c r="U46" s="236"/>
      <c r="V46" s="2766"/>
      <c r="W46" s="2767"/>
      <c r="X46" s="2767"/>
      <c r="Y46" s="2767"/>
      <c r="Z46" s="2767"/>
      <c r="AA46" s="2767"/>
      <c r="AB46" s="2767"/>
      <c r="AC46" s="2768"/>
      <c r="AD46" s="2766" t="str">
        <f>INDEX(PT_DIFFERENTIATION_IST_TE,MATCH(D46,PT_DIFFERENTIATION_IST_TE_ID,0))</f>
        <v/>
      </c>
      <c r="AE46" s="2767"/>
      <c r="AF46" s="2767"/>
      <c r="AG46" s="2767"/>
      <c r="AH46" s="2767"/>
      <c r="AI46" s="2767"/>
      <c r="AJ46" s="2767"/>
      <c r="AK46" s="2767"/>
      <c r="AL46" s="2768"/>
      <c r="AM46" s="1176" t="s">
        <v>404</v>
      </c>
      <c r="AO46" s="435"/>
      <c r="AP46" s="435" t="str">
        <f t="shared" si="1"/>
        <v xml:space="preserve">Источник тепловой энергии  </v>
      </c>
      <c r="AQ46" s="435"/>
      <c r="AR46" s="435"/>
      <c r="AS46" s="1073">
        <v>21</v>
      </c>
    </row>
    <row r="47" spans="1:45" s="2520" customFormat="1" ht="0" hidden="1" customHeight="1">
      <c r="A47" s="1261" t="s">
        <v>190</v>
      </c>
      <c r="B47" s="1261" t="s">
        <v>191</v>
      </c>
      <c r="C47" s="1261" t="s">
        <v>192</v>
      </c>
      <c r="D47" s="1261" t="s">
        <v>193</v>
      </c>
      <c r="E47" s="2779"/>
      <c r="F47" s="2779"/>
      <c r="G47" s="2779"/>
      <c r="H47" s="2779"/>
      <c r="I47" s="2776" t="str">
        <f>S46&amp;".1"</f>
        <v>....1</v>
      </c>
      <c r="J47" s="1261"/>
      <c r="K47" s="1261"/>
      <c r="L47" s="1264" t="s">
        <v>405</v>
      </c>
      <c r="M47" s="445"/>
      <c r="N47" s="445"/>
      <c r="O47" s="445"/>
      <c r="P47" s="2777">
        <v>1</v>
      </c>
      <c r="Q47" s="1249"/>
      <c r="R47" s="291"/>
      <c r="S47" s="964"/>
      <c r="T47" s="1301"/>
      <c r="U47" s="1302"/>
      <c r="V47" s="2795"/>
      <c r="W47" s="2796"/>
      <c r="X47" s="2796"/>
      <c r="Y47" s="2796"/>
      <c r="Z47" s="2796"/>
      <c r="AA47" s="2796"/>
      <c r="AB47" s="2796"/>
      <c r="AC47" s="2797"/>
      <c r="AD47" s="2795"/>
      <c r="AE47" s="2796"/>
      <c r="AF47" s="2796"/>
      <c r="AG47" s="2796"/>
      <c r="AH47" s="2796"/>
      <c r="AI47" s="2796"/>
      <c r="AJ47" s="2796"/>
      <c r="AK47" s="2796"/>
      <c r="AL47" s="2797"/>
      <c r="AM47" s="1303"/>
      <c r="AO47" s="435"/>
      <c r="AP47" s="435" t="str">
        <f t="shared" si="1"/>
        <v/>
      </c>
      <c r="AQ47" s="435"/>
      <c r="AR47" s="435"/>
      <c r="AS47" s="446">
        <v>0</v>
      </c>
    </row>
    <row r="48" spans="1:45" ht="21.95" customHeight="1">
      <c r="A48" s="1281" t="s">
        <v>190</v>
      </c>
      <c r="B48" s="1281" t="s">
        <v>191</v>
      </c>
      <c r="C48" s="1281" t="s">
        <v>192</v>
      </c>
      <c r="D48" s="1281" t="s">
        <v>193</v>
      </c>
      <c r="E48" s="2779"/>
      <c r="F48" s="2779"/>
      <c r="G48" s="2779"/>
      <c r="H48" s="2779"/>
      <c r="I48" s="2787"/>
      <c r="J48" s="2776" t="str">
        <f>S46&amp;".1"</f>
        <v>....1</v>
      </c>
      <c r="K48" s="1281"/>
      <c r="L48" s="1282" t="s">
        <v>408</v>
      </c>
      <c r="P48" s="2777"/>
      <c r="Q48" s="2777">
        <v>1</v>
      </c>
      <c r="R48" s="292"/>
      <c r="S48" s="1254" t="str">
        <f>$J48</f>
        <v>....1</v>
      </c>
      <c r="T48" s="222" t="s">
        <v>409</v>
      </c>
      <c r="U48" s="236"/>
      <c r="V48" s="2769"/>
      <c r="W48" s="2770"/>
      <c r="X48" s="2770"/>
      <c r="Y48" s="2770"/>
      <c r="Z48" s="2770"/>
      <c r="AA48" s="2770"/>
      <c r="AB48" s="2770"/>
      <c r="AC48" s="2771"/>
      <c r="AD48" s="2769"/>
      <c r="AE48" s="2770"/>
      <c r="AF48" s="2770"/>
      <c r="AG48" s="2770"/>
      <c r="AH48" s="2770"/>
      <c r="AI48" s="2770"/>
      <c r="AJ48" s="2770"/>
      <c r="AK48" s="2770"/>
      <c r="AL48" s="2771"/>
      <c r="AM48" s="1176" t="s">
        <v>410</v>
      </c>
      <c r="AO48" s="435"/>
      <c r="AP48" s="435" t="str">
        <f t="shared" si="1"/>
        <v>Группа потребителей</v>
      </c>
      <c r="AQ48" s="435"/>
      <c r="AR48" s="435"/>
      <c r="AS48" s="1073">
        <v>21</v>
      </c>
    </row>
    <row r="49" spans="1:45" ht="21.95" customHeight="1">
      <c r="A49" s="1281" t="s">
        <v>190</v>
      </c>
      <c r="B49" s="1281" t="s">
        <v>191</v>
      </c>
      <c r="C49" s="1281" t="s">
        <v>192</v>
      </c>
      <c r="D49" s="1281" t="s">
        <v>193</v>
      </c>
      <c r="E49" s="2779"/>
      <c r="F49" s="2779"/>
      <c r="G49" s="2779"/>
      <c r="H49" s="2779"/>
      <c r="I49" s="2787"/>
      <c r="J49" s="2787"/>
      <c r="K49" s="2776" t="str">
        <f>J48&amp;".1"</f>
        <v>....1.1</v>
      </c>
      <c r="L49" s="1282" t="s">
        <v>411</v>
      </c>
      <c r="P49" s="2777"/>
      <c r="Q49" s="2777"/>
      <c r="R49" s="292">
        <v>1</v>
      </c>
      <c r="S49" s="1254" t="str">
        <f>$K49</f>
        <v>....1.1</v>
      </c>
      <c r="T49" s="1265"/>
      <c r="U49" s="236"/>
      <c r="V49" s="686"/>
      <c r="W49" s="261"/>
      <c r="X49" s="686"/>
      <c r="Y49" s="1175"/>
      <c r="Z49" s="2753"/>
      <c r="AA49" s="2619" t="s">
        <v>66</v>
      </c>
      <c r="AB49" s="2753"/>
      <c r="AC49" s="2619" t="s">
        <v>66</v>
      </c>
      <c r="AD49" s="686"/>
      <c r="AE49" s="261"/>
      <c r="AF49" s="686"/>
      <c r="AG49" s="1175"/>
      <c r="AH49" s="2753"/>
      <c r="AI49" s="2619" t="s">
        <v>66</v>
      </c>
      <c r="AJ49" s="2788"/>
      <c r="AK49" s="2619" t="s">
        <v>66</v>
      </c>
      <c r="AL49" s="1266"/>
      <c r="AM49" s="2773" t="s">
        <v>453</v>
      </c>
      <c r="AN49" s="446" t="e">
        <f ca="1">STRCHECKDATE(V50:AL50)</f>
        <v>#NAME?</v>
      </c>
      <c r="AO49" s="435"/>
      <c r="AP49" s="435" t="str">
        <f t="shared" si="1"/>
        <v/>
      </c>
      <c r="AQ49" s="435"/>
      <c r="AR49" s="435"/>
      <c r="AS49" s="1073">
        <v>21</v>
      </c>
    </row>
    <row r="50" spans="1:45" ht="0" hidden="1" customHeight="1">
      <c r="A50" s="1281" t="s">
        <v>190</v>
      </c>
      <c r="B50" s="1281" t="s">
        <v>191</v>
      </c>
      <c r="C50" s="1281" t="s">
        <v>192</v>
      </c>
      <c r="D50" s="1281" t="s">
        <v>193</v>
      </c>
      <c r="E50" s="2779"/>
      <c r="F50" s="2779"/>
      <c r="G50" s="2779"/>
      <c r="H50" s="2779"/>
      <c r="I50" s="2787"/>
      <c r="J50" s="2787"/>
      <c r="K50" s="2776"/>
      <c r="L50" s="1282"/>
      <c r="P50" s="2777"/>
      <c r="Q50" s="2777"/>
      <c r="R50" s="292"/>
      <c r="S50" s="1260"/>
      <c r="T50" s="236"/>
      <c r="U50" s="236"/>
      <c r="V50" s="261"/>
      <c r="W50" s="261"/>
      <c r="X50" s="261"/>
      <c r="Y50" s="264" t="str">
        <f>Z49&amp;"-"&amp;AB49</f>
        <v>-</v>
      </c>
      <c r="Z50" s="2752"/>
      <c r="AA50" s="2619"/>
      <c r="AB50" s="2752"/>
      <c r="AC50" s="2619"/>
      <c r="AD50" s="261"/>
      <c r="AE50" s="261"/>
      <c r="AF50" s="261"/>
      <c r="AG50" s="264" t="str">
        <f>AH49&amp;"-"&amp;AJ49</f>
        <v>-</v>
      </c>
      <c r="AH50" s="2752"/>
      <c r="AI50" s="2619"/>
      <c r="AJ50" s="2789"/>
      <c r="AK50" s="2619"/>
      <c r="AL50" s="1267"/>
      <c r="AM50" s="2774"/>
      <c r="AO50" s="435"/>
      <c r="AP50" s="435" t="str">
        <f t="shared" si="1"/>
        <v/>
      </c>
      <c r="AQ50" s="435"/>
      <c r="AR50" s="435"/>
      <c r="AS50" s="1073">
        <v>0</v>
      </c>
    </row>
    <row r="51" spans="1:45" ht="11.45" customHeight="1">
      <c r="A51" s="1281" t="s">
        <v>190</v>
      </c>
      <c r="B51" s="1281" t="s">
        <v>191</v>
      </c>
      <c r="C51" s="1281" t="s">
        <v>192</v>
      </c>
      <c r="D51" s="1281" t="s">
        <v>193</v>
      </c>
      <c r="E51" s="2779"/>
      <c r="F51" s="2779"/>
      <c r="G51" s="2779"/>
      <c r="H51" s="2779"/>
      <c r="I51" s="2787"/>
      <c r="J51" s="2776"/>
      <c r="K51" s="1281"/>
      <c r="L51" s="1282"/>
      <c r="P51" s="2777"/>
      <c r="Q51" s="2777"/>
      <c r="R51" s="291"/>
      <c r="S51" s="1196"/>
      <c r="T51" s="223" t="s">
        <v>413</v>
      </c>
      <c r="U51" s="302"/>
      <c r="V51" s="302"/>
      <c r="W51" s="302"/>
      <c r="X51" s="302"/>
      <c r="Y51" s="302"/>
      <c r="Z51" s="302"/>
      <c r="AA51" s="302"/>
      <c r="AB51" s="302"/>
      <c r="AC51" s="302"/>
      <c r="AD51" s="302"/>
      <c r="AE51" s="302"/>
      <c r="AF51" s="302"/>
      <c r="AG51" s="302"/>
      <c r="AH51" s="302"/>
      <c r="AI51" s="302"/>
      <c r="AJ51" s="302"/>
      <c r="AK51" s="302"/>
      <c r="AL51" s="260"/>
      <c r="AM51" s="2775"/>
      <c r="AO51" s="435"/>
      <c r="AP51" s="435" t="str">
        <f t="shared" si="1"/>
        <v>Добавить вид теплоносителя (параметры теплоносителя)</v>
      </c>
      <c r="AQ51" s="435"/>
      <c r="AR51" s="435"/>
      <c r="AS51" s="1073">
        <v>11</v>
      </c>
    </row>
    <row r="52" spans="1:45" ht="11.45" customHeight="1">
      <c r="A52" s="1281" t="s">
        <v>190</v>
      </c>
      <c r="B52" s="1281" t="s">
        <v>191</v>
      </c>
      <c r="C52" s="1281" t="s">
        <v>192</v>
      </c>
      <c r="D52" s="1281" t="s">
        <v>193</v>
      </c>
      <c r="E52" s="2779"/>
      <c r="F52" s="2779"/>
      <c r="G52" s="2779"/>
      <c r="H52" s="2779"/>
      <c r="I52" s="2776"/>
      <c r="J52" s="1281"/>
      <c r="K52" s="1281"/>
      <c r="L52" s="1282"/>
      <c r="P52" s="2777"/>
      <c r="Q52" s="1249"/>
      <c r="R52" s="291"/>
      <c r="S52" s="1196"/>
      <c r="T52" s="300" t="s">
        <v>414</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190</v>
      </c>
      <c r="B53" s="1281" t="s">
        <v>191</v>
      </c>
      <c r="C53" s="1281" t="s">
        <v>192</v>
      </c>
      <c r="D53" s="1281" t="s">
        <v>193</v>
      </c>
      <c r="E53" s="2779"/>
      <c r="F53" s="2779"/>
      <c r="G53" s="2779"/>
      <c r="H53" s="2778"/>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520" customFormat="1" ht="0" hidden="1" customHeight="1">
      <c r="A54" s="1261" t="s">
        <v>190</v>
      </c>
      <c r="B54" s="1261" t="s">
        <v>191</v>
      </c>
      <c r="C54" s="1261" t="s">
        <v>192</v>
      </c>
      <c r="D54" s="1232"/>
      <c r="E54" s="2779"/>
      <c r="F54" s="2779"/>
      <c r="G54" s="2778"/>
      <c r="H54" s="1232"/>
      <c r="I54" s="1232"/>
      <c r="J54" s="1232"/>
      <c r="K54" s="1232"/>
      <c r="L54" s="1257"/>
      <c r="M54" s="1233"/>
      <c r="N54" s="1233"/>
      <c r="P54" s="1234"/>
      <c r="Q54" s="1235"/>
      <c r="R54" s="1234"/>
      <c r="S54" s="1240"/>
      <c r="T54" s="1243" t="s">
        <v>160</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520" customFormat="1" ht="0" hidden="1" customHeight="1">
      <c r="A55" s="1261" t="s">
        <v>190</v>
      </c>
      <c r="B55" s="1261" t="s">
        <v>191</v>
      </c>
      <c r="C55" s="1232"/>
      <c r="D55" s="1232"/>
      <c r="E55" s="2779"/>
      <c r="F55" s="2778"/>
      <c r="G55" s="1232"/>
      <c r="H55" s="1232"/>
      <c r="I55" s="1232"/>
      <c r="J55" s="1232"/>
      <c r="K55" s="1232"/>
      <c r="L55" s="1257"/>
      <c r="M55" s="1239"/>
      <c r="N55" s="1239"/>
      <c r="P55" s="1234"/>
      <c r="Q55" s="1235"/>
      <c r="R55" s="1234"/>
      <c r="S55" s="1240"/>
      <c r="T55" s="1243" t="s">
        <v>161</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520" customFormat="1" ht="0" hidden="1" customHeight="1">
      <c r="A56" s="1261" t="s">
        <v>190</v>
      </c>
      <c r="B56" s="1261"/>
      <c r="C56" s="1261"/>
      <c r="D56" s="1261"/>
      <c r="E56" s="2778"/>
      <c r="F56" s="1261"/>
      <c r="G56" s="1261"/>
      <c r="H56" s="1261"/>
      <c r="I56" s="1261"/>
      <c r="J56" s="1261"/>
      <c r="K56" s="1261"/>
      <c r="L56" s="1264"/>
      <c r="M56" s="1239"/>
      <c r="N56" s="1239"/>
      <c r="O56" s="453"/>
      <c r="P56" s="315"/>
      <c r="Q56" s="1262"/>
      <c r="R56" s="315"/>
      <c r="S56" s="1240"/>
      <c r="T56" s="1243" t="s">
        <v>162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520"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163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786"/>
      <c r="U59" s="2786"/>
      <c r="V59" s="2786"/>
      <c r="W59" s="2786"/>
      <c r="X59" s="2786"/>
      <c r="Y59" s="2786"/>
      <c r="Z59" s="2786"/>
      <c r="AA59" s="2786"/>
      <c r="AB59" s="2786"/>
      <c r="AC59" s="2786"/>
      <c r="AD59" s="2786"/>
      <c r="AE59" s="2786"/>
      <c r="AF59" s="2786"/>
      <c r="AG59" s="2786"/>
      <c r="AH59" s="2786"/>
      <c r="AI59" s="2786"/>
      <c r="AJ59" s="2786"/>
      <c r="AK59" s="2786"/>
      <c r="AL59" s="2786"/>
      <c r="AM59" s="2786"/>
      <c r="AS59" s="1073">
        <v>14</v>
      </c>
    </row>
    <row r="60" spans="1:45" ht="14.65" customHeight="1">
      <c r="O60" s="472"/>
      <c r="T60" s="2786"/>
      <c r="U60" s="2786"/>
      <c r="V60" s="2786"/>
      <c r="W60" s="2786"/>
      <c r="X60" s="2786"/>
      <c r="Y60" s="2786"/>
      <c r="Z60" s="2786"/>
      <c r="AA60" s="2786"/>
      <c r="AB60" s="2786"/>
      <c r="AC60" s="2786"/>
      <c r="AD60" s="2786"/>
      <c r="AE60" s="2786"/>
      <c r="AF60" s="2786"/>
      <c r="AG60" s="2786"/>
      <c r="AH60" s="2786"/>
      <c r="AI60" s="2786"/>
      <c r="AJ60" s="2786"/>
      <c r="AK60" s="2786"/>
      <c r="AL60" s="2786"/>
      <c r="AM60" s="2786"/>
      <c r="AS60" s="1073">
        <v>14</v>
      </c>
    </row>
    <row r="61" spans="1:45" ht="14.65" customHeight="1">
      <c r="O61" s="472"/>
      <c r="T61" s="2786"/>
      <c r="U61" s="2786"/>
      <c r="V61" s="2786"/>
      <c r="W61" s="2786"/>
      <c r="X61" s="2786"/>
      <c r="Y61" s="2786"/>
      <c r="Z61" s="2786"/>
      <c r="AA61" s="2786"/>
      <c r="AB61" s="2786"/>
      <c r="AC61" s="2786"/>
      <c r="AD61" s="2786"/>
      <c r="AE61" s="2786"/>
      <c r="AF61" s="2786"/>
      <c r="AG61" s="2786"/>
      <c r="AH61" s="2786"/>
      <c r="AI61" s="2786"/>
      <c r="AJ61" s="2786"/>
      <c r="AK61" s="2786"/>
      <c r="AL61" s="2786"/>
      <c r="AM61" s="2786"/>
      <c r="AS61" s="1073">
        <v>14</v>
      </c>
    </row>
    <row r="62" spans="1:45" ht="14.65" customHeight="1">
      <c r="O62" s="472"/>
      <c r="AS62" s="1073">
        <v>14</v>
      </c>
    </row>
    <row r="63" spans="1:45" ht="14.65" customHeight="1">
      <c r="O63" s="472"/>
      <c r="S63" s="1171"/>
      <c r="T63" s="2688"/>
      <c r="U63" s="2786"/>
      <c r="V63" s="2786"/>
      <c r="W63" s="2786"/>
      <c r="X63" s="2786"/>
      <c r="Y63" s="2786"/>
      <c r="Z63" s="2786"/>
      <c r="AA63" s="2786"/>
      <c r="AB63" s="2786"/>
      <c r="AC63" s="2786"/>
      <c r="AD63" s="2786"/>
      <c r="AE63" s="2786"/>
      <c r="AF63" s="2786"/>
      <c r="AG63" s="2786"/>
      <c r="AH63" s="2786"/>
      <c r="AI63" s="2786"/>
      <c r="AJ63" s="2786"/>
      <c r="AK63" s="2786"/>
      <c r="AL63" s="2786"/>
      <c r="AM63" s="2786"/>
      <c r="AS63" s="1073">
        <v>14</v>
      </c>
    </row>
    <row r="64" spans="1:45" ht="14.65" customHeight="1">
      <c r="O64" s="472"/>
      <c r="T64" s="2786"/>
      <c r="U64" s="2786"/>
      <c r="V64" s="2786"/>
      <c r="W64" s="2786"/>
      <c r="X64" s="2786"/>
      <c r="Y64" s="2786"/>
      <c r="Z64" s="2786"/>
      <c r="AA64" s="2786"/>
      <c r="AB64" s="2786"/>
      <c r="AC64" s="2786"/>
      <c r="AD64" s="2786"/>
      <c r="AE64" s="2786"/>
      <c r="AF64" s="2786"/>
      <c r="AG64" s="2786"/>
      <c r="AH64" s="2786"/>
      <c r="AI64" s="2786"/>
      <c r="AJ64" s="2786"/>
      <c r="AK64" s="2786"/>
      <c r="AL64" s="2786"/>
      <c r="AM64" s="2786"/>
      <c r="AS64" s="1073">
        <v>14</v>
      </c>
    </row>
    <row r="65" spans="1:45" ht="14.65" customHeight="1">
      <c r="T65" s="2786"/>
      <c r="U65" s="2786"/>
      <c r="V65" s="2786"/>
      <c r="W65" s="2786"/>
      <c r="X65" s="2786"/>
      <c r="Y65" s="2786"/>
      <c r="Z65" s="2786"/>
      <c r="AA65" s="2786"/>
      <c r="AB65" s="2786"/>
      <c r="AC65" s="2786"/>
      <c r="AD65" s="2786"/>
      <c r="AE65" s="2786"/>
      <c r="AF65" s="2786"/>
      <c r="AG65" s="2786"/>
      <c r="AH65" s="2786"/>
      <c r="AI65" s="2786"/>
      <c r="AJ65" s="2786"/>
      <c r="AK65" s="2786"/>
      <c r="AL65" s="2786"/>
      <c r="AM65" s="2786"/>
      <c r="AS65" s="1073">
        <v>14</v>
      </c>
    </row>
    <row r="66" spans="1:45" ht="22.5" hidden="1" customHeight="1">
      <c r="A66" s="1078" t="s">
        <v>81</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513" hidden="1"/>
    <col min="2" max="2" width="11" style="2513" hidden="1" customWidth="1"/>
    <col min="3" max="3" width="10.5703125" style="2513" hidden="1"/>
    <col min="4" max="4" width="11.85546875" style="2513" hidden="1" customWidth="1"/>
    <col min="5" max="5" width="10" style="2513" hidden="1" customWidth="1"/>
    <col min="6" max="6" width="8.7109375" style="2513" hidden="1" customWidth="1"/>
    <col min="7" max="7" width="7.5703125" style="2513" hidden="1" customWidth="1"/>
    <col min="8" max="8" width="11.42578125" style="2513" hidden="1" customWidth="1"/>
    <col min="9" max="9" width="12" style="2513" hidden="1" customWidth="1"/>
    <col min="10" max="10" width="9.85546875" style="2513" hidden="1" customWidth="1"/>
    <col min="11" max="12" width="11.42578125" style="2513" hidden="1" customWidth="1"/>
    <col min="13" max="13" width="19.140625" style="2517" hidden="1" customWidth="1"/>
    <col min="14" max="15" width="12.28515625" style="2547" hidden="1" customWidth="1"/>
    <col min="16" max="16" width="23.42578125" style="2547" hidden="1" customWidth="1"/>
    <col min="17" max="17" width="3.7109375" style="2547" hidden="1" customWidth="1"/>
    <col min="18" max="20" width="3" style="2548" customWidth="1"/>
    <col min="21" max="21" width="12" style="2549" customWidth="1"/>
    <col min="22" max="22" width="31" style="2513" customWidth="1"/>
    <col min="23" max="23" width="0.140625" style="2513" customWidth="1"/>
    <col min="24" max="28" width="21.7109375" style="2513" hidden="1" customWidth="1"/>
    <col min="29" max="29" width="11.7109375" style="2513" hidden="1" customWidth="1"/>
    <col min="30" max="30" width="3.7109375" style="2513" hidden="1" customWidth="1"/>
    <col min="31" max="31" width="11.7109375" style="2513" hidden="1" customWidth="1"/>
    <col min="32" max="32" width="8.5703125" style="2513" hidden="1" customWidth="1"/>
    <col min="33" max="33" width="21.7109375" style="2513" customWidth="1"/>
    <col min="34" max="37" width="21" style="2513" customWidth="1"/>
    <col min="38" max="38" width="11" style="2513" customWidth="1"/>
    <col min="39" max="39" width="3.7109375" style="2513" customWidth="1"/>
    <col min="40" max="40" width="11" style="2513" customWidth="1"/>
    <col min="41" max="41" width="8.5703125" style="2513" hidden="1" customWidth="1"/>
    <col min="42" max="42" width="4" style="2513" customWidth="1"/>
    <col min="43" max="43" width="115" style="2513" customWidth="1"/>
    <col min="44" max="48" width="10" style="2520" customWidth="1"/>
    <col min="49" max="49" width="10.5703125" style="2513" hidden="1"/>
  </cols>
  <sheetData>
    <row r="1" spans="1:49" ht="22.5" hidden="1" customHeight="1">
      <c r="AB1" s="263"/>
      <c r="AC1" s="263"/>
      <c r="AK1" s="263"/>
      <c r="AL1" s="263"/>
      <c r="AW1" s="1073" t="s">
        <v>14</v>
      </c>
    </row>
    <row r="2" spans="1:49" ht="21" hidden="1" customHeight="1">
      <c r="A2" s="1185"/>
      <c r="B2" s="1185"/>
      <c r="C2" s="1185"/>
      <c r="D2" s="1185"/>
      <c r="E2" s="2790">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122</v>
      </c>
      <c r="W2" s="236"/>
      <c r="X2" s="2766"/>
      <c r="Y2" s="2767"/>
      <c r="Z2" s="2767"/>
      <c r="AA2" s="2767"/>
      <c r="AB2" s="2767"/>
      <c r="AC2" s="2767"/>
      <c r="AD2" s="2767"/>
      <c r="AE2" s="2767"/>
      <c r="AF2" s="2768"/>
      <c r="AG2" s="2766" t="e">
        <f>INDEX(PT_DIFFERENTIATION_NTAR,MATCH(A2,PT_DIFFERENTIATION_NTAR_ID,0))</f>
        <v>#N/A</v>
      </c>
      <c r="AH2" s="2767"/>
      <c r="AI2" s="2767"/>
      <c r="AJ2" s="2767"/>
      <c r="AK2" s="2767"/>
      <c r="AL2" s="2767"/>
      <c r="AM2" s="2767"/>
      <c r="AN2" s="2767"/>
      <c r="AO2" s="2767"/>
      <c r="AP2" s="2768"/>
      <c r="AQ2" s="1176" t="s">
        <v>398</v>
      </c>
      <c r="AS2" s="435"/>
      <c r="AT2" s="435" t="str">
        <f t="shared" ref="AT2:AT8" si="0">IF(V2="","",V2)</f>
        <v>Наименование тарифа</v>
      </c>
      <c r="AU2" s="435"/>
      <c r="AV2" s="435"/>
      <c r="AW2" s="1073">
        <v>0</v>
      </c>
    </row>
    <row r="3" spans="1:49" ht="21" hidden="1" customHeight="1">
      <c r="A3" s="1185"/>
      <c r="B3" s="1185"/>
      <c r="C3" s="1185"/>
      <c r="D3" s="1185"/>
      <c r="E3" s="2791"/>
      <c r="F3" s="2790">
        <v>1</v>
      </c>
      <c r="G3" s="1185"/>
      <c r="H3" s="1185"/>
      <c r="I3" s="1185"/>
      <c r="J3" s="1185"/>
      <c r="K3" s="1185"/>
      <c r="L3" s="1185"/>
      <c r="M3" s="1228"/>
      <c r="N3" s="623"/>
      <c r="O3" s="623"/>
      <c r="P3" s="623"/>
      <c r="Q3" s="1250"/>
      <c r="R3" s="287"/>
      <c r="S3" s="444"/>
      <c r="T3" s="288"/>
      <c r="U3" s="1254" t="e">
        <f>INDEX(PT_DIFFERENTIATION_NUM_TER,MATCH(B3,PT_DIFFERENTIATION_TER_ID,0))</f>
        <v>#N/A</v>
      </c>
      <c r="V3" s="244" t="s">
        <v>399</v>
      </c>
      <c r="W3" s="236"/>
      <c r="X3" s="2766"/>
      <c r="Y3" s="2767"/>
      <c r="Z3" s="2767"/>
      <c r="AA3" s="2767"/>
      <c r="AB3" s="2767"/>
      <c r="AC3" s="2767"/>
      <c r="AD3" s="2767"/>
      <c r="AE3" s="2767"/>
      <c r="AF3" s="2768"/>
      <c r="AG3" s="2766" t="e">
        <f>INDEX(PT_DIFFERENTIATION_TER,MATCH(B3,PT_DIFFERENTIATION_TER_ID,0))</f>
        <v>#N/A</v>
      </c>
      <c r="AH3" s="2767"/>
      <c r="AI3" s="2767"/>
      <c r="AJ3" s="2767"/>
      <c r="AK3" s="2767"/>
      <c r="AL3" s="2767"/>
      <c r="AM3" s="2767"/>
      <c r="AN3" s="2767"/>
      <c r="AO3" s="2767"/>
      <c r="AP3" s="2768"/>
      <c r="AQ3" s="1176" t="s">
        <v>400</v>
      </c>
      <c r="AS3" s="435"/>
      <c r="AT3" s="435" t="str">
        <f t="shared" si="0"/>
        <v>Территория действия тарифа</v>
      </c>
      <c r="AU3" s="435"/>
      <c r="AV3" s="435"/>
      <c r="AW3" s="1073">
        <v>0</v>
      </c>
    </row>
    <row r="4" spans="1:49" ht="22.5" hidden="1" customHeight="1">
      <c r="A4" s="1185"/>
      <c r="B4" s="1185"/>
      <c r="C4" s="1185"/>
      <c r="D4" s="1185"/>
      <c r="E4" s="2791"/>
      <c r="F4" s="2791"/>
      <c r="G4" s="2790">
        <v>1</v>
      </c>
      <c r="H4" s="1185"/>
      <c r="I4" s="1185"/>
      <c r="J4" s="1185"/>
      <c r="K4" s="1185"/>
      <c r="L4" s="1185"/>
      <c r="M4" s="1228"/>
      <c r="N4" s="623"/>
      <c r="O4" s="623"/>
      <c r="P4" s="623"/>
      <c r="Q4" s="289"/>
      <c r="R4" s="287"/>
      <c r="S4" s="444"/>
      <c r="T4" s="288"/>
      <c r="U4" s="1254" t="e">
        <f>INDEX(PT_DIFFERENTIATION_NUM_CS,MATCH(C4,PT_DIFFERENTIATION_CS_ID,0))</f>
        <v>#N/A</v>
      </c>
      <c r="V4" s="245" t="s">
        <v>401</v>
      </c>
      <c r="W4" s="236"/>
      <c r="X4" s="2766"/>
      <c r="Y4" s="2767"/>
      <c r="Z4" s="2767"/>
      <c r="AA4" s="2767"/>
      <c r="AB4" s="2767"/>
      <c r="AC4" s="2767"/>
      <c r="AD4" s="2767"/>
      <c r="AE4" s="2767"/>
      <c r="AF4" s="2768"/>
      <c r="AG4" s="2766" t="e">
        <f>INDEX(PT_DIFFERENTIATION_CS,MATCH(C4,PT_DIFFERENTIATION_CS_ID,0))</f>
        <v>#N/A</v>
      </c>
      <c r="AH4" s="2767"/>
      <c r="AI4" s="2767"/>
      <c r="AJ4" s="2767"/>
      <c r="AK4" s="2767"/>
      <c r="AL4" s="2767"/>
      <c r="AM4" s="2767"/>
      <c r="AN4" s="2767"/>
      <c r="AO4" s="2767"/>
      <c r="AP4" s="2768"/>
      <c r="AQ4" s="1176" t="s">
        <v>402</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791"/>
      <c r="F5" s="2791"/>
      <c r="G5" s="2791"/>
      <c r="H5" s="2790">
        <v>1</v>
      </c>
      <c r="I5" s="1185"/>
      <c r="J5" s="1185"/>
      <c r="K5" s="1185"/>
      <c r="L5" s="1185"/>
      <c r="M5" s="1228"/>
      <c r="N5" s="623"/>
      <c r="O5" s="623"/>
      <c r="P5" s="623"/>
      <c r="Q5" s="289"/>
      <c r="R5" s="287"/>
      <c r="S5" s="444"/>
      <c r="T5" s="288"/>
      <c r="U5" s="1254" t="e">
        <f>INDEX(PT_DIFFERENTIATION_NUM_IST_TE,MATCH(D5,PT_DIFFERENTIATION_IST_TE_ID,0))</f>
        <v>#N/A</v>
      </c>
      <c r="V5" s="246" t="s">
        <v>403</v>
      </c>
      <c r="W5" s="236"/>
      <c r="X5" s="2766"/>
      <c r="Y5" s="2767"/>
      <c r="Z5" s="2767"/>
      <c r="AA5" s="2767"/>
      <c r="AB5" s="2767"/>
      <c r="AC5" s="2767"/>
      <c r="AD5" s="2767"/>
      <c r="AE5" s="2767"/>
      <c r="AF5" s="2768"/>
      <c r="AG5" s="2766" t="e">
        <f>INDEX(PT_DIFFERENTIATION_IST_TE,MATCH(D5,PT_DIFFERENTIATION_IST_TE_ID,0))</f>
        <v>#N/A</v>
      </c>
      <c r="AH5" s="2767"/>
      <c r="AI5" s="2767"/>
      <c r="AJ5" s="2767"/>
      <c r="AK5" s="2767"/>
      <c r="AL5" s="2767"/>
      <c r="AM5" s="2767"/>
      <c r="AN5" s="2767"/>
      <c r="AO5" s="2767"/>
      <c r="AP5" s="2768"/>
      <c r="AQ5" s="1176" t="s">
        <v>404</v>
      </c>
      <c r="AS5" s="435"/>
      <c r="AT5" s="435" t="str">
        <f t="shared" si="0"/>
        <v xml:space="preserve">Источник тепловой энергии  </v>
      </c>
      <c r="AU5" s="435"/>
      <c r="AV5" s="435"/>
      <c r="AW5" s="1073">
        <v>0</v>
      </c>
    </row>
    <row r="6" spans="1:49" ht="14.25" hidden="1" customHeight="1">
      <c r="A6" s="1185"/>
      <c r="B6" s="1185"/>
      <c r="C6" s="1185"/>
      <c r="D6" s="1185"/>
      <c r="E6" s="2791"/>
      <c r="F6" s="2791"/>
      <c r="G6" s="2791"/>
      <c r="H6" s="2791"/>
      <c r="I6" s="2638" t="e">
        <f>U5&amp;".1"</f>
        <v>#N/A</v>
      </c>
      <c r="J6" s="1185"/>
      <c r="K6" s="1185"/>
      <c r="L6" s="1185"/>
      <c r="M6" s="1228" t="s">
        <v>405</v>
      </c>
      <c r="N6" s="444"/>
      <c r="Q6" s="2777">
        <v>1</v>
      </c>
      <c r="R6" s="1249"/>
      <c r="S6" s="1249"/>
      <c r="T6" s="291"/>
      <c r="U6" s="964"/>
      <c r="V6" s="1301"/>
      <c r="W6" s="1302"/>
      <c r="X6" s="2795"/>
      <c r="Y6" s="2796"/>
      <c r="Z6" s="2796"/>
      <c r="AA6" s="2796"/>
      <c r="AB6" s="2796"/>
      <c r="AC6" s="2796"/>
      <c r="AD6" s="2796"/>
      <c r="AE6" s="2796"/>
      <c r="AF6" s="2797"/>
      <c r="AG6" s="2795"/>
      <c r="AH6" s="2796"/>
      <c r="AI6" s="2796"/>
      <c r="AJ6" s="2796"/>
      <c r="AK6" s="2796"/>
      <c r="AL6" s="2796"/>
      <c r="AM6" s="2796"/>
      <c r="AN6" s="2796"/>
      <c r="AO6" s="2796"/>
      <c r="AP6" s="2797"/>
      <c r="AQ6" s="1303"/>
      <c r="AS6" s="435"/>
      <c r="AT6" s="435" t="str">
        <f t="shared" si="0"/>
        <v/>
      </c>
      <c r="AU6" s="435"/>
      <c r="AV6" s="435"/>
      <c r="AW6" s="1073">
        <v>0</v>
      </c>
    </row>
    <row r="7" spans="1:49" ht="21" hidden="1" customHeight="1">
      <c r="A7" s="1185"/>
      <c r="B7" s="1185"/>
      <c r="C7" s="1185"/>
      <c r="D7" s="1185"/>
      <c r="E7" s="2791"/>
      <c r="F7" s="2791"/>
      <c r="G7" s="2791"/>
      <c r="H7" s="2791"/>
      <c r="I7" s="2610"/>
      <c r="J7" s="2638" t="e">
        <f>I6&amp;".1"</f>
        <v>#N/A</v>
      </c>
      <c r="K7" s="1185"/>
      <c r="L7" s="1185"/>
      <c r="M7" s="1228" t="s">
        <v>408</v>
      </c>
      <c r="N7" s="444"/>
      <c r="O7" s="263"/>
      <c r="Q7" s="2777"/>
      <c r="R7" s="2777">
        <v>1</v>
      </c>
      <c r="S7" s="453"/>
      <c r="T7" s="292"/>
      <c r="U7" s="1254" t="e">
        <f>$J7</f>
        <v>#N/A</v>
      </c>
      <c r="V7" s="222" t="s">
        <v>409</v>
      </c>
      <c r="W7" s="236"/>
      <c r="X7" s="2769"/>
      <c r="Y7" s="2770"/>
      <c r="Z7" s="2770"/>
      <c r="AA7" s="2770"/>
      <c r="AB7" s="2770"/>
      <c r="AC7" s="2747"/>
      <c r="AD7" s="2747"/>
      <c r="AE7" s="2747"/>
      <c r="AF7" s="2805"/>
      <c r="AG7" s="2769"/>
      <c r="AH7" s="2770"/>
      <c r="AI7" s="2770"/>
      <c r="AJ7" s="2770"/>
      <c r="AK7" s="2770"/>
      <c r="AL7" s="2770"/>
      <c r="AM7" s="2770"/>
      <c r="AN7" s="2770"/>
      <c r="AO7" s="2770"/>
      <c r="AP7" s="2771"/>
      <c r="AQ7" s="1176" t="s">
        <v>410</v>
      </c>
      <c r="AS7" s="435"/>
      <c r="AT7" s="435" t="str">
        <f t="shared" si="0"/>
        <v>Группа потребителей</v>
      </c>
      <c r="AU7" s="435"/>
      <c r="AV7" s="435"/>
      <c r="AW7" s="1073">
        <v>0</v>
      </c>
    </row>
    <row r="8" spans="1:49" ht="21" hidden="1" customHeight="1">
      <c r="A8" s="1185"/>
      <c r="B8" s="1185"/>
      <c r="C8" s="1185"/>
      <c r="D8" s="1185"/>
      <c r="E8" s="2791"/>
      <c r="F8" s="2791"/>
      <c r="G8" s="2791"/>
      <c r="H8" s="2791"/>
      <c r="I8" s="2610"/>
      <c r="J8" s="2610"/>
      <c r="K8" s="2638" t="e">
        <f>J7&amp;".1"</f>
        <v>#N/A</v>
      </c>
      <c r="L8" s="77"/>
      <c r="M8" s="1228" t="s">
        <v>411</v>
      </c>
      <c r="N8" s="444"/>
      <c r="O8" s="263"/>
      <c r="P8" s="263"/>
      <c r="Q8" s="2777"/>
      <c r="R8" s="2777"/>
      <c r="S8" s="2777">
        <v>1</v>
      </c>
      <c r="T8" s="292"/>
      <c r="U8" s="1254" t="e">
        <f>$K8</f>
        <v>#N/A</v>
      </c>
      <c r="V8" s="1265"/>
      <c r="W8" s="236"/>
      <c r="X8" s="686"/>
      <c r="Y8" s="686"/>
      <c r="Z8" s="686"/>
      <c r="AA8" s="686"/>
      <c r="AB8" s="1323"/>
      <c r="AC8" s="2753"/>
      <c r="AD8" s="2619" t="s">
        <v>66</v>
      </c>
      <c r="AE8" s="2753"/>
      <c r="AF8" s="2619" t="s">
        <v>66</v>
      </c>
      <c r="AG8" s="1325"/>
      <c r="AH8" s="686"/>
      <c r="AI8" s="686"/>
      <c r="AJ8" s="686"/>
      <c r="AK8" s="1175"/>
      <c r="AL8" s="2753"/>
      <c r="AM8" s="2619" t="s">
        <v>66</v>
      </c>
      <c r="AN8" s="2753"/>
      <c r="AO8" s="2619" t="s">
        <v>66</v>
      </c>
      <c r="AP8" s="261"/>
      <c r="AQ8" s="1225" t="s">
        <v>454</v>
      </c>
      <c r="AR8" s="446" t="e">
        <f ca="1">STRCHECKDATE(X10:AP10)</f>
        <v>#NAME?</v>
      </c>
      <c r="AS8" s="435"/>
      <c r="AT8" s="435" t="str">
        <f t="shared" si="0"/>
        <v/>
      </c>
      <c r="AU8" s="435"/>
      <c r="AV8" s="435"/>
      <c r="AW8" s="1073">
        <v>0</v>
      </c>
    </row>
    <row r="9" spans="1:49" ht="21" hidden="1" customHeight="1">
      <c r="A9" s="1185"/>
      <c r="B9" s="1185"/>
      <c r="C9" s="1185"/>
      <c r="D9" s="1185"/>
      <c r="E9" s="2791"/>
      <c r="F9" s="2791"/>
      <c r="G9" s="2791"/>
      <c r="H9" s="2791"/>
      <c r="I9" s="2610"/>
      <c r="J9" s="2610"/>
      <c r="K9" s="2610"/>
      <c r="L9" s="2638" t="e">
        <f>K8&amp;".1"</f>
        <v>#N/A</v>
      </c>
      <c r="M9" s="1228"/>
      <c r="N9" s="444"/>
      <c r="O9" s="263"/>
      <c r="P9" s="263"/>
      <c r="Q9" s="2777"/>
      <c r="R9" s="2777"/>
      <c r="S9" s="2777"/>
      <c r="T9" s="292"/>
      <c r="U9" s="1254" t="e">
        <f>$L9</f>
        <v>#N/A</v>
      </c>
      <c r="V9" s="1309"/>
      <c r="W9" s="236"/>
      <c r="X9" s="261"/>
      <c r="Y9" s="686"/>
      <c r="Z9" s="686"/>
      <c r="AA9" s="686"/>
      <c r="AB9" s="1323"/>
      <c r="AC9" s="2752"/>
      <c r="AD9" s="2619"/>
      <c r="AE9" s="2752"/>
      <c r="AF9" s="2619"/>
      <c r="AG9" s="1325"/>
      <c r="AH9" s="686"/>
      <c r="AI9" s="686"/>
      <c r="AJ9" s="686"/>
      <c r="AK9" s="1175"/>
      <c r="AL9" s="2752"/>
      <c r="AM9" s="2619"/>
      <c r="AN9" s="2752"/>
      <c r="AO9" s="2619"/>
      <c r="AP9" s="261"/>
      <c r="AQ9" s="2773" t="s">
        <v>455</v>
      </c>
      <c r="AS9" s="435"/>
      <c r="AT9" s="435"/>
      <c r="AU9" s="435"/>
      <c r="AV9" s="435"/>
      <c r="AW9" s="1073">
        <v>0</v>
      </c>
    </row>
    <row r="10" spans="1:49" ht="14.25" hidden="1" customHeight="1">
      <c r="A10" s="1185"/>
      <c r="B10" s="1185"/>
      <c r="C10" s="1185"/>
      <c r="D10" s="1185"/>
      <c r="E10" s="2791"/>
      <c r="F10" s="2791"/>
      <c r="G10" s="2791"/>
      <c r="H10" s="2791"/>
      <c r="I10" s="2610"/>
      <c r="J10" s="2610"/>
      <c r="K10" s="2610"/>
      <c r="L10" s="2638"/>
      <c r="M10" s="1228"/>
      <c r="N10" s="444"/>
      <c r="O10" s="263"/>
      <c r="P10" s="263"/>
      <c r="Q10" s="2777"/>
      <c r="R10" s="2777"/>
      <c r="S10" s="2777"/>
      <c r="T10" s="292"/>
      <c r="U10" s="1260"/>
      <c r="V10" s="236"/>
      <c r="W10" s="236"/>
      <c r="X10" s="261"/>
      <c r="Y10" s="261"/>
      <c r="Z10" s="261"/>
      <c r="AA10" s="261"/>
      <c r="AB10" s="1324" t="str">
        <f>AC8&amp;"-"&amp;AE8</f>
        <v>-</v>
      </c>
      <c r="AC10" s="2752"/>
      <c r="AD10" s="2619"/>
      <c r="AE10" s="2752"/>
      <c r="AF10" s="2619"/>
      <c r="AG10" s="1300"/>
      <c r="AH10" s="261"/>
      <c r="AI10" s="261"/>
      <c r="AJ10" s="261"/>
      <c r="AK10" s="264" t="str">
        <f>AL8&amp;"-"&amp;AN8</f>
        <v>-</v>
      </c>
      <c r="AL10" s="2752"/>
      <c r="AM10" s="2619"/>
      <c r="AN10" s="2752"/>
      <c r="AO10" s="2619"/>
      <c r="AP10" s="261"/>
      <c r="AQ10" s="2774"/>
      <c r="AS10" s="435"/>
      <c r="AT10" s="435" t="str">
        <f>IF(V10="","",V10)</f>
        <v/>
      </c>
      <c r="AU10" s="435"/>
      <c r="AV10" s="435"/>
      <c r="AW10" s="1073">
        <v>0</v>
      </c>
    </row>
    <row r="11" spans="1:49" ht="11.25" hidden="1" customHeight="1">
      <c r="A11" s="1185"/>
      <c r="B11" s="1185"/>
      <c r="C11" s="1185"/>
      <c r="D11" s="1185"/>
      <c r="E11" s="2791"/>
      <c r="F11" s="2791"/>
      <c r="G11" s="2791"/>
      <c r="H11" s="2791"/>
      <c r="I11" s="2610"/>
      <c r="J11" s="2610"/>
      <c r="K11" s="2638"/>
      <c r="L11" s="1185"/>
      <c r="M11" s="1228"/>
      <c r="N11" s="444"/>
      <c r="O11" s="263"/>
      <c r="P11" s="263"/>
      <c r="Q11" s="2777"/>
      <c r="R11" s="2777"/>
      <c r="S11" s="2777"/>
      <c r="T11" s="292"/>
      <c r="U11" s="1196"/>
      <c r="V11" s="224" t="s">
        <v>456</v>
      </c>
      <c r="W11" s="1310"/>
      <c r="X11" s="1311"/>
      <c r="Y11" s="1311"/>
      <c r="Z11" s="1311"/>
      <c r="AA11" s="1311"/>
      <c r="AB11" s="1312"/>
      <c r="AC11" s="2752"/>
      <c r="AD11" s="2619"/>
      <c r="AE11" s="2752"/>
      <c r="AF11" s="2619"/>
      <c r="AG11" s="1311"/>
      <c r="AH11" s="1311"/>
      <c r="AI11" s="1311"/>
      <c r="AJ11" s="1311"/>
      <c r="AK11" s="1312"/>
      <c r="AL11" s="2752"/>
      <c r="AM11" s="2619"/>
      <c r="AN11" s="2752"/>
      <c r="AO11" s="2619"/>
      <c r="AP11" s="1313"/>
      <c r="AQ11" s="2774"/>
      <c r="AS11" s="435"/>
      <c r="AT11" s="435"/>
      <c r="AU11" s="435"/>
      <c r="AV11" s="435"/>
      <c r="AW11" s="1073">
        <v>0</v>
      </c>
    </row>
    <row r="12" spans="1:49" ht="15" hidden="1" customHeight="1">
      <c r="A12" s="1185"/>
      <c r="B12" s="1185"/>
      <c r="C12" s="1185"/>
      <c r="D12" s="1185"/>
      <c r="E12" s="2791"/>
      <c r="F12" s="2791"/>
      <c r="G12" s="2791"/>
      <c r="H12" s="2791"/>
      <c r="I12" s="2610"/>
      <c r="J12" s="2638"/>
      <c r="K12" s="1185"/>
      <c r="L12" s="1185"/>
      <c r="M12" s="1228"/>
      <c r="N12" s="444"/>
      <c r="O12" s="263"/>
      <c r="Q12" s="2777"/>
      <c r="R12" s="2777"/>
      <c r="S12" s="1249"/>
      <c r="T12" s="291"/>
      <c r="U12" s="1196"/>
      <c r="V12" s="223" t="s">
        <v>413</v>
      </c>
      <c r="W12" s="302"/>
      <c r="X12" s="302"/>
      <c r="Y12" s="302"/>
      <c r="Z12" s="302"/>
      <c r="AA12" s="302"/>
      <c r="AB12" s="302"/>
      <c r="AC12" s="1326"/>
      <c r="AD12" s="1326"/>
      <c r="AE12" s="1326"/>
      <c r="AF12" s="1326"/>
      <c r="AG12" s="302"/>
      <c r="AH12" s="302"/>
      <c r="AI12" s="302"/>
      <c r="AJ12" s="302"/>
      <c r="AK12" s="302"/>
      <c r="AL12" s="302"/>
      <c r="AM12" s="302"/>
      <c r="AN12" s="302"/>
      <c r="AO12" s="302"/>
      <c r="AP12" s="260"/>
      <c r="AQ12" s="2775"/>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791"/>
      <c r="F13" s="2791"/>
      <c r="G13" s="2791"/>
      <c r="H13" s="2791"/>
      <c r="I13" s="2638"/>
      <c r="J13" s="1185"/>
      <c r="K13" s="1185"/>
      <c r="L13" s="1185"/>
      <c r="M13" s="1228"/>
      <c r="N13" s="444"/>
      <c r="Q13" s="2777"/>
      <c r="R13" s="1249"/>
      <c r="S13" s="1249"/>
      <c r="T13" s="291"/>
      <c r="U13" s="1196"/>
      <c r="V13" s="300" t="s">
        <v>414</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791"/>
      <c r="F14" s="2791"/>
      <c r="G14" s="2791"/>
      <c r="H14" s="2790"/>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520" customFormat="1" ht="14.25" hidden="1" customHeight="1">
      <c r="A15" s="1292"/>
      <c r="B15" s="1292"/>
      <c r="C15" s="1292"/>
      <c r="D15" s="1292"/>
      <c r="E15" s="2791"/>
      <c r="F15" s="2791"/>
      <c r="G15" s="2790"/>
      <c r="H15" s="1292"/>
      <c r="I15" s="1292"/>
      <c r="J15" s="1292"/>
      <c r="K15" s="1292"/>
      <c r="L15" s="1292"/>
      <c r="M15" s="1295"/>
      <c r="N15" s="1296"/>
      <c r="O15" s="1296"/>
      <c r="P15" s="286"/>
      <c r="Q15" s="1234"/>
      <c r="R15" s="1235"/>
      <c r="S15" s="1234"/>
      <c r="T15" s="1234"/>
      <c r="U15" s="1236"/>
      <c r="V15" s="1237" t="s">
        <v>160</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520" customFormat="1" ht="14.25" hidden="1" customHeight="1">
      <c r="A16" s="1292"/>
      <c r="B16" s="1292"/>
      <c r="C16" s="1292"/>
      <c r="D16" s="1292"/>
      <c r="E16" s="2791"/>
      <c r="F16" s="2790"/>
      <c r="G16" s="1292"/>
      <c r="H16" s="1292"/>
      <c r="I16" s="1292"/>
      <c r="J16" s="1292"/>
      <c r="K16" s="1292"/>
      <c r="L16" s="1292"/>
      <c r="M16" s="1295"/>
      <c r="N16" s="1297"/>
      <c r="O16" s="1297"/>
      <c r="P16" s="286"/>
      <c r="Q16" s="1234"/>
      <c r="R16" s="1235"/>
      <c r="S16" s="1234"/>
      <c r="T16" s="1234"/>
      <c r="U16" s="1240"/>
      <c r="V16" s="1241" t="s">
        <v>161</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520" customFormat="1" ht="14.25" hidden="1" customHeight="1">
      <c r="A17" s="1292"/>
      <c r="B17" s="1292"/>
      <c r="C17" s="1292"/>
      <c r="D17" s="1292"/>
      <c r="E17" s="2790"/>
      <c r="F17" s="1292"/>
      <c r="G17" s="1292"/>
      <c r="H17" s="1292"/>
      <c r="I17" s="1292"/>
      <c r="J17" s="1292"/>
      <c r="K17" s="1292"/>
      <c r="L17" s="1292"/>
      <c r="M17" s="1295"/>
      <c r="N17" s="1297"/>
      <c r="O17" s="1297"/>
      <c r="P17" s="286"/>
      <c r="Q17" s="1234"/>
      <c r="R17" s="1235"/>
      <c r="S17" s="1234"/>
      <c r="T17" s="1234"/>
      <c r="U17" s="1240"/>
      <c r="V17" s="1243" t="s">
        <v>162</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780"/>
      <c r="AM19" s="2781" t="s">
        <v>66</v>
      </c>
      <c r="AN19" s="2780"/>
      <c r="AO19" s="2781" t="s">
        <v>66</v>
      </c>
      <c r="AW19" s="1073">
        <v>0</v>
      </c>
    </row>
    <row r="20" spans="1:49" ht="14.25" hidden="1" customHeight="1">
      <c r="AG20" s="1278"/>
      <c r="AH20" s="1278"/>
      <c r="AI20" s="1278"/>
      <c r="AJ20" s="1278"/>
      <c r="AK20" s="1279"/>
      <c r="AL20" s="2780"/>
      <c r="AM20" s="2781"/>
      <c r="AN20" s="2780"/>
      <c r="AO20" s="2781"/>
      <c r="AW20" s="1073">
        <v>0</v>
      </c>
    </row>
    <row r="21" spans="1:49" ht="14.25" hidden="1" customHeight="1">
      <c r="AG21" s="1278"/>
      <c r="AH21" s="1278"/>
      <c r="AI21" s="1278"/>
      <c r="AJ21" s="1278"/>
      <c r="AK21" s="1279"/>
      <c r="AL21" s="2780"/>
      <c r="AM21" s="2781"/>
      <c r="AN21" s="2780"/>
      <c r="AO21" s="2781"/>
      <c r="AW21" s="1073">
        <v>0</v>
      </c>
    </row>
    <row r="22" spans="1:49" ht="14.25" hidden="1" customHeight="1">
      <c r="AG22" s="1278"/>
      <c r="AH22" s="1278"/>
      <c r="AI22" s="1278"/>
      <c r="AJ22" s="1278"/>
      <c r="AK22" s="264" t="str">
        <f>AL19&amp;"-"&amp;AN19</f>
        <v>-</v>
      </c>
      <c r="AL22" s="2781"/>
      <c r="AM22" s="2781"/>
      <c r="AN22" s="2781"/>
      <c r="AO22" s="2781"/>
      <c r="AW22" s="1073">
        <v>0</v>
      </c>
    </row>
    <row r="23" spans="1:49" ht="14.25" hidden="1" customHeight="1">
      <c r="AO23" s="263"/>
      <c r="AW23" s="1073">
        <v>0</v>
      </c>
    </row>
    <row r="24" spans="1:49" s="2519" customFormat="1" ht="22.5" hidden="1" customHeight="1">
      <c r="A24" s="1073"/>
      <c r="B24" s="1073"/>
      <c r="C24" s="1073"/>
      <c r="D24" s="1073"/>
      <c r="E24" s="1073"/>
      <c r="F24" s="1073"/>
      <c r="G24" s="1073"/>
      <c r="H24" s="1073"/>
      <c r="I24" s="1073"/>
      <c r="J24" s="1073"/>
      <c r="K24" s="1073"/>
      <c r="L24" s="1073"/>
      <c r="M24" s="1245"/>
      <c r="N24" s="1246"/>
      <c r="O24" s="1246"/>
      <c r="P24" s="1263" t="s">
        <v>416</v>
      </c>
      <c r="Q24" s="1280"/>
      <c r="R24" s="1289"/>
      <c r="S24" s="1289"/>
      <c r="T24" s="1289"/>
      <c r="U24" s="664"/>
      <c r="AC24" s="1285"/>
      <c r="AE24" s="1285"/>
      <c r="AF24" s="1284"/>
      <c r="AL24" s="1285"/>
      <c r="AN24" s="1285"/>
      <c r="AO24" s="1284"/>
      <c r="AR24" s="446"/>
      <c r="AS24" s="446"/>
      <c r="AT24" s="446"/>
      <c r="AU24" s="446"/>
      <c r="AV24" s="446"/>
      <c r="AW24" s="1078">
        <v>0</v>
      </c>
    </row>
    <row r="25" spans="1:49" s="2519"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519" customFormat="1" ht="14.25" hidden="1" customHeight="1">
      <c r="A26" s="1073"/>
      <c r="B26" s="1073"/>
      <c r="C26" s="1073"/>
      <c r="D26" s="1073"/>
      <c r="E26" s="1073"/>
      <c r="F26" s="1073"/>
      <c r="G26" s="1073"/>
      <c r="H26" s="1073"/>
      <c r="I26" s="1073"/>
      <c r="J26" s="1073"/>
      <c r="K26" s="1073"/>
      <c r="L26" s="1073"/>
      <c r="M26" s="1245"/>
      <c r="N26" s="1246"/>
      <c r="O26" s="1246"/>
      <c r="P26" s="1228" t="s">
        <v>417</v>
      </c>
      <c r="Q26" s="1280"/>
      <c r="R26" s="1289"/>
      <c r="S26" s="1289"/>
      <c r="T26" s="1289"/>
      <c r="U26" s="664"/>
      <c r="V26" s="1078" t="s">
        <v>418</v>
      </c>
      <c r="AD26" s="122" t="s">
        <v>419</v>
      </c>
      <c r="AF26" s="122" t="s">
        <v>420</v>
      </c>
      <c r="AG26" s="1078" t="s">
        <v>418</v>
      </c>
      <c r="AM26" s="122" t="s">
        <v>421</v>
      </c>
      <c r="AO26" s="122" t="s">
        <v>420</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74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49"/>
      <c r="W30" s="2749"/>
      <c r="X30" s="2749"/>
      <c r="Y30" s="2749"/>
      <c r="Z30" s="2749"/>
      <c r="AA30" s="2749"/>
      <c r="AB30" s="2749"/>
      <c r="AC30" s="2749"/>
      <c r="AD30" s="2749"/>
      <c r="AE30" s="2749"/>
      <c r="AF30" s="2749"/>
      <c r="AG30" s="2749"/>
      <c r="AH30" s="2749"/>
      <c r="AI30" s="2749"/>
      <c r="AJ30" s="2749"/>
      <c r="AK30" s="2749"/>
      <c r="AL30" s="2749"/>
      <c r="AM30" s="2749"/>
      <c r="AN30" s="2749"/>
      <c r="AO30" s="1161"/>
      <c r="AW30" s="1073">
        <v>54</v>
      </c>
    </row>
    <row r="31" spans="1:49" ht="14.65" customHeight="1">
      <c r="R31" s="311"/>
      <c r="S31" s="311"/>
      <c r="T31" s="311"/>
      <c r="U31" s="2696" t="str">
        <f>IF(org=0,"Не определено",org)</f>
        <v>ООО "Ноябрьская ПГЭ"</v>
      </c>
      <c r="V31" s="2696"/>
      <c r="W31" s="2696"/>
      <c r="X31" s="2696"/>
      <c r="Y31" s="2696"/>
      <c r="Z31" s="2696"/>
      <c r="AA31" s="2696"/>
      <c r="AB31" s="2696"/>
      <c r="AC31" s="2696"/>
      <c r="AD31" s="2696"/>
      <c r="AE31" s="2696"/>
      <c r="AF31" s="2696"/>
      <c r="AG31" s="2696"/>
      <c r="AH31" s="2696"/>
      <c r="AI31" s="2696"/>
      <c r="AJ31" s="2696"/>
      <c r="AK31" s="2696"/>
      <c r="AL31" s="2696"/>
      <c r="AM31" s="2696"/>
      <c r="AN31" s="2696"/>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529" customFormat="1" ht="25.5" hidden="1" customHeight="1">
      <c r="A33" s="1166"/>
      <c r="B33" s="1166"/>
      <c r="C33" s="1166"/>
      <c r="D33" s="1166"/>
      <c r="E33" s="1166"/>
      <c r="F33" s="1166"/>
      <c r="G33" s="1166"/>
      <c r="H33" s="1166"/>
      <c r="I33" s="1166"/>
      <c r="J33" s="1166"/>
      <c r="K33" s="1166"/>
      <c r="L33" s="1166"/>
      <c r="M33" s="1298"/>
      <c r="N33" s="1166"/>
      <c r="O33" s="1166"/>
      <c r="P33" s="1166"/>
      <c r="U33" s="2772" t="s">
        <v>42</v>
      </c>
      <c r="V33" s="2772"/>
      <c r="W33" s="1290"/>
      <c r="X33" s="2754" t="str">
        <f>IF(TITLE_NAME_OR_PR_CHANGE="",IF(TITLE_NAME_OR_PR="","",TITLE_NAME_OR_PR),TITLE_NAME_OR_PR_CHANGE)</f>
        <v/>
      </c>
      <c r="Y33" s="2754"/>
      <c r="Z33" s="2754"/>
      <c r="AA33" s="2754"/>
      <c r="AB33" s="2754"/>
      <c r="AC33" s="2754"/>
      <c r="AD33" s="2754"/>
      <c r="AE33" s="2754"/>
      <c r="AF33" s="262"/>
      <c r="AG33" s="2754" t="str">
        <f>IF(TITLE_NAME_OR_PR_CHANGE="",IF(TITLE_NAME_OR_PR="","",TITLE_NAME_OR_PR),TITLE_NAME_OR_PR_CHANGE)</f>
        <v/>
      </c>
      <c r="AH33" s="2754"/>
      <c r="AI33" s="2754"/>
      <c r="AJ33" s="2754"/>
      <c r="AK33" s="2754"/>
      <c r="AL33" s="2754"/>
      <c r="AM33" s="2754"/>
      <c r="AN33" s="2754"/>
      <c r="AO33" s="262"/>
      <c r="AP33" s="262"/>
      <c r="AQ33" s="216"/>
      <c r="AR33" s="303"/>
      <c r="AS33" s="303"/>
      <c r="AT33" s="303"/>
      <c r="AU33" s="303"/>
      <c r="AV33" s="303"/>
      <c r="AW33" s="353">
        <v>0</v>
      </c>
    </row>
    <row r="34" spans="1:49" s="2529" customFormat="1" ht="18.75" hidden="1" customHeight="1">
      <c r="A34" s="1166"/>
      <c r="B34" s="1166"/>
      <c r="C34" s="1166"/>
      <c r="D34" s="1166"/>
      <c r="E34" s="1166"/>
      <c r="F34" s="1166"/>
      <c r="G34" s="1166"/>
      <c r="H34" s="1166"/>
      <c r="I34" s="1166"/>
      <c r="J34" s="1166"/>
      <c r="K34" s="1166"/>
      <c r="L34" s="1166"/>
      <c r="M34" s="1298"/>
      <c r="N34" s="1166"/>
      <c r="O34" s="1166"/>
      <c r="P34" s="1166"/>
      <c r="U34" s="2772" t="s">
        <v>422</v>
      </c>
      <c r="V34" s="2772"/>
      <c r="W34" s="1290"/>
      <c r="X34" s="2755">
        <f>IF(TITLE_DATE_PR_CHANGE="",IF(TITLE_DATE_PR="","",TITLE_DATE_PR),TITLE_DATE_PR_CHANGE)</f>
        <v>45583</v>
      </c>
      <c r="Y34" s="2755"/>
      <c r="Z34" s="2755"/>
      <c r="AA34" s="2755"/>
      <c r="AB34" s="2755"/>
      <c r="AC34" s="2755"/>
      <c r="AD34" s="2755"/>
      <c r="AE34" s="2755"/>
      <c r="AF34" s="262"/>
      <c r="AG34" s="2755">
        <f>IF(TITLE_DATE_PR_CHANGE="",IF(TITLE_DATE_PR="","",TITLE_DATE_PR),TITLE_DATE_PR_CHANGE)</f>
        <v>45583</v>
      </c>
      <c r="AH34" s="2755"/>
      <c r="AI34" s="2755"/>
      <c r="AJ34" s="2755"/>
      <c r="AK34" s="2755"/>
      <c r="AL34" s="2755"/>
      <c r="AM34" s="2755"/>
      <c r="AN34" s="2755"/>
      <c r="AO34" s="262"/>
      <c r="AP34" s="262"/>
      <c r="AQ34" s="216"/>
      <c r="AR34" s="303"/>
      <c r="AS34" s="303"/>
      <c r="AT34" s="303"/>
      <c r="AU34" s="303"/>
      <c r="AV34" s="303"/>
      <c r="AW34" s="353">
        <v>0</v>
      </c>
    </row>
    <row r="35" spans="1:49" s="2529" customFormat="1" ht="18.75" hidden="1" customHeight="1">
      <c r="A35" s="1166"/>
      <c r="B35" s="1166"/>
      <c r="C35" s="1166"/>
      <c r="D35" s="1166"/>
      <c r="E35" s="1166"/>
      <c r="F35" s="1166"/>
      <c r="G35" s="1166"/>
      <c r="H35" s="1166"/>
      <c r="I35" s="1166"/>
      <c r="J35" s="1166"/>
      <c r="K35" s="1166"/>
      <c r="L35" s="1166"/>
      <c r="M35" s="1298"/>
      <c r="N35" s="1166"/>
      <c r="O35" s="1166"/>
      <c r="P35" s="1166"/>
      <c r="U35" s="2772" t="s">
        <v>423</v>
      </c>
      <c r="V35" s="2772"/>
      <c r="W35" s="1290"/>
      <c r="X35" s="2754" t="str">
        <f>IF(TITLE_NUMBER_PR_CHANGE="",IF(TITLE_NUMBER_PR="","",TITLE_NUMBER_PR),TITLE_NUMBER_PR_CHANGE)</f>
        <v>18-3341</v>
      </c>
      <c r="Y35" s="2754"/>
      <c r="Z35" s="2754"/>
      <c r="AA35" s="2754"/>
      <c r="AB35" s="2754"/>
      <c r="AC35" s="2754"/>
      <c r="AD35" s="2754"/>
      <c r="AE35" s="2754"/>
      <c r="AF35" s="262"/>
      <c r="AG35" s="2754" t="str">
        <f>IF(TITLE_NUMBER_PR_CHANGE="",IF(TITLE_NUMBER_PR="","",TITLE_NUMBER_PR),TITLE_NUMBER_PR_CHANGE)</f>
        <v>18-3341</v>
      </c>
      <c r="AH35" s="2754"/>
      <c r="AI35" s="2754"/>
      <c r="AJ35" s="2754"/>
      <c r="AK35" s="2754"/>
      <c r="AL35" s="2754"/>
      <c r="AM35" s="2754"/>
      <c r="AN35" s="2754"/>
      <c r="AO35" s="262"/>
      <c r="AP35" s="262"/>
      <c r="AQ35" s="216"/>
      <c r="AR35" s="303"/>
      <c r="AS35" s="303"/>
      <c r="AT35" s="303"/>
      <c r="AU35" s="303"/>
      <c r="AV35" s="303"/>
      <c r="AW35" s="353">
        <v>0</v>
      </c>
    </row>
    <row r="36" spans="1:49" s="2529" customFormat="1" ht="18.75" hidden="1" customHeight="1">
      <c r="A36" s="1166"/>
      <c r="B36" s="1166"/>
      <c r="C36" s="1166"/>
      <c r="D36" s="1166"/>
      <c r="E36" s="1166"/>
      <c r="F36" s="1166"/>
      <c r="G36" s="1166"/>
      <c r="H36" s="1166"/>
      <c r="I36" s="1166"/>
      <c r="J36" s="1166"/>
      <c r="K36" s="1166"/>
      <c r="L36" s="1166"/>
      <c r="M36" s="1298"/>
      <c r="N36" s="1166"/>
      <c r="O36" s="1166"/>
      <c r="P36" s="1166"/>
      <c r="U36" s="2772" t="s">
        <v>43</v>
      </c>
      <c r="V36" s="2772"/>
      <c r="W36" s="1290"/>
      <c r="X36" s="2754" t="str">
        <f>IF(TITLE_IST_PUB_CHANGE="",IF(TITLE_IST_PUB="","",TITLE_IST_PUB),TITLE_IST_PUB_CHANGE)</f>
        <v/>
      </c>
      <c r="Y36" s="2754"/>
      <c r="Z36" s="2754"/>
      <c r="AA36" s="2754"/>
      <c r="AB36" s="2754"/>
      <c r="AC36" s="2754"/>
      <c r="AD36" s="2754"/>
      <c r="AE36" s="2754"/>
      <c r="AF36" s="262"/>
      <c r="AG36" s="2754" t="str">
        <f>IF(TITLE_IST_PUB_CHANGE="",IF(TITLE_IST_PUB="","",TITLE_IST_PUB),TITLE_IST_PUB_CHANGE)</f>
        <v/>
      </c>
      <c r="AH36" s="2754"/>
      <c r="AI36" s="2754"/>
      <c r="AJ36" s="2754"/>
      <c r="AK36" s="2754"/>
      <c r="AL36" s="2754"/>
      <c r="AM36" s="2754"/>
      <c r="AN36" s="2754"/>
      <c r="AO36" s="262"/>
      <c r="AP36" s="262"/>
      <c r="AQ36" s="216"/>
      <c r="AR36" s="303"/>
      <c r="AS36" s="303"/>
      <c r="AT36" s="303"/>
      <c r="AU36" s="303"/>
      <c r="AV36" s="303"/>
      <c r="AW36" s="353">
        <v>0</v>
      </c>
    </row>
    <row r="37" spans="1:49" ht="14.25"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529" customFormat="1" ht="18.75" customHeight="1">
      <c r="A38" s="1166"/>
      <c r="B38" s="1166"/>
      <c r="C38" s="1166"/>
      <c r="D38" s="1166"/>
      <c r="E38" s="1166"/>
      <c r="F38" s="1166"/>
      <c r="G38" s="1166"/>
      <c r="H38" s="1166"/>
      <c r="I38" s="1166"/>
      <c r="J38" s="1166"/>
      <c r="K38" s="1166"/>
      <c r="L38" s="1166"/>
      <c r="M38" s="1298"/>
      <c r="N38" s="1166"/>
      <c r="O38" s="1166"/>
      <c r="P38" s="1166"/>
      <c r="U38" s="2772" t="s">
        <v>424</v>
      </c>
      <c r="V38" s="2772"/>
      <c r="W38" s="1290"/>
      <c r="X38" s="2755">
        <f>IF(TITLE_DATE_PR_CHANGE="",IF(TITLE_DATE_PR="","",TITLE_DATE_PR),TITLE_DATE_PR_CHANGE)</f>
        <v>45583</v>
      </c>
      <c r="Y38" s="2755"/>
      <c r="Z38" s="2755"/>
      <c r="AA38" s="2755"/>
      <c r="AB38" s="2755"/>
      <c r="AC38" s="2755"/>
      <c r="AD38" s="2755"/>
      <c r="AE38" s="2755"/>
      <c r="AF38" s="262"/>
      <c r="AG38" s="2755">
        <f>IF(TITLE_DATE_PR_CHANGE="",IF(TITLE_DATE_PR="","",TITLE_DATE_PR),TITLE_DATE_PR_CHANGE)</f>
        <v>45583</v>
      </c>
      <c r="AH38" s="2755"/>
      <c r="AI38" s="2755"/>
      <c r="AJ38" s="2755"/>
      <c r="AK38" s="2755"/>
      <c r="AL38" s="2755"/>
      <c r="AM38" s="2755"/>
      <c r="AN38" s="2755"/>
      <c r="AO38" s="262"/>
      <c r="AP38" s="262"/>
      <c r="AQ38" s="216"/>
      <c r="AR38" s="303"/>
      <c r="AS38" s="303"/>
      <c r="AT38" s="303"/>
      <c r="AU38" s="303"/>
      <c r="AV38" s="303"/>
      <c r="AW38" s="353">
        <v>0</v>
      </c>
    </row>
    <row r="39" spans="1:49" s="2529" customFormat="1" ht="18.75" customHeight="1">
      <c r="A39" s="1166"/>
      <c r="B39" s="1166"/>
      <c r="C39" s="1166"/>
      <c r="D39" s="1166"/>
      <c r="E39" s="1166"/>
      <c r="F39" s="1166"/>
      <c r="G39" s="1166"/>
      <c r="H39" s="1166"/>
      <c r="I39" s="1166"/>
      <c r="J39" s="1166"/>
      <c r="K39" s="1166"/>
      <c r="L39" s="1166"/>
      <c r="M39" s="1298"/>
      <c r="N39" s="1166"/>
      <c r="O39" s="1166"/>
      <c r="P39" s="1166"/>
      <c r="U39" s="2772" t="s">
        <v>425</v>
      </c>
      <c r="V39" s="2772"/>
      <c r="W39" s="1290"/>
      <c r="X39" s="2754" t="str">
        <f>IF(TITLE_NUMBER_PR_CHANGE="",IF(TITLE_NUMBER_PR="","",TITLE_NUMBER_PR),TITLE_NUMBER_PR_CHANGE)</f>
        <v>18-3341</v>
      </c>
      <c r="Y39" s="2754"/>
      <c r="Z39" s="2754"/>
      <c r="AA39" s="2754"/>
      <c r="AB39" s="2754"/>
      <c r="AC39" s="2754"/>
      <c r="AD39" s="2754"/>
      <c r="AE39" s="2754"/>
      <c r="AF39" s="262"/>
      <c r="AG39" s="2754" t="str">
        <f>IF(TITLE_NUMBER_PR_CHANGE="",IF(TITLE_NUMBER_PR="","",TITLE_NUMBER_PR),TITLE_NUMBER_PR_CHANGE)</f>
        <v>18-3341</v>
      </c>
      <c r="AH39" s="2754"/>
      <c r="AI39" s="2754"/>
      <c r="AJ39" s="2754"/>
      <c r="AK39" s="2754"/>
      <c r="AL39" s="2754"/>
      <c r="AM39" s="2754"/>
      <c r="AN39" s="2754"/>
      <c r="AO39" s="262"/>
      <c r="AP39" s="262"/>
      <c r="AQ39" s="216"/>
      <c r="AR39" s="303"/>
      <c r="AS39" s="303"/>
      <c r="AT39" s="303"/>
      <c r="AU39" s="303"/>
      <c r="AV39" s="303"/>
      <c r="AW39" s="353">
        <v>0</v>
      </c>
    </row>
    <row r="40" spans="1:49" s="2529"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426</v>
      </c>
      <c r="AG40" s="262"/>
      <c r="AH40" s="262"/>
      <c r="AI40" s="262"/>
      <c r="AJ40" s="262"/>
      <c r="AK40" s="262"/>
      <c r="AL40" s="262"/>
      <c r="AM40" s="262"/>
      <c r="AN40" s="262"/>
      <c r="AO40" s="214" t="s">
        <v>426</v>
      </c>
      <c r="AR40" s="303"/>
      <c r="AS40" s="303"/>
      <c r="AT40" s="303"/>
      <c r="AU40" s="303"/>
      <c r="AV40" s="303"/>
      <c r="AW40" s="353">
        <v>0</v>
      </c>
    </row>
    <row r="41" spans="1:49" ht="14.65" customHeight="1">
      <c r="R41" s="311"/>
      <c r="S41" s="311"/>
      <c r="T41" s="311"/>
      <c r="U41" s="1193"/>
      <c r="V41" s="298"/>
      <c r="W41" s="1162"/>
      <c r="X41" s="2756"/>
      <c r="Y41" s="2756"/>
      <c r="Z41" s="2756"/>
      <c r="AA41" s="2756"/>
      <c r="AB41" s="2756"/>
      <c r="AC41" s="2756"/>
      <c r="AD41" s="2756"/>
      <c r="AE41" s="2756"/>
      <c r="AF41" s="2756"/>
      <c r="AG41" s="2756"/>
      <c r="AH41" s="2756"/>
      <c r="AI41" s="2756"/>
      <c r="AJ41" s="2756"/>
      <c r="AK41" s="2756"/>
      <c r="AL41" s="2756"/>
      <c r="AM41" s="2756"/>
      <c r="AN41" s="2756"/>
      <c r="AO41" s="2756"/>
      <c r="AW41" s="1073">
        <v>14</v>
      </c>
    </row>
    <row r="42" spans="1:49" ht="14.65" customHeight="1">
      <c r="R42" s="311"/>
      <c r="S42" s="311"/>
      <c r="T42" s="311"/>
      <c r="U42" s="2638" t="s">
        <v>302</v>
      </c>
      <c r="V42" s="2638"/>
      <c r="W42" s="2638"/>
      <c r="X42" s="2638"/>
      <c r="Y42" s="2638"/>
      <c r="Z42" s="2638"/>
      <c r="AA42" s="2638"/>
      <c r="AB42" s="2638"/>
      <c r="AC42" s="2638"/>
      <c r="AD42" s="2638"/>
      <c r="AE42" s="2638"/>
      <c r="AF42" s="2638"/>
      <c r="AG42" s="2638"/>
      <c r="AH42" s="2638"/>
      <c r="AI42" s="2638"/>
      <c r="AJ42" s="2638"/>
      <c r="AK42" s="2638"/>
      <c r="AL42" s="2638"/>
      <c r="AM42" s="2638"/>
      <c r="AN42" s="2638"/>
      <c r="AO42" s="2638"/>
      <c r="AP42" s="2638"/>
      <c r="AQ42" s="2638" t="s">
        <v>303</v>
      </c>
      <c r="AW42" s="1073">
        <v>14</v>
      </c>
    </row>
    <row r="43" spans="1:49" ht="14.65" customHeight="1">
      <c r="R43" s="311"/>
      <c r="S43" s="311"/>
      <c r="T43" s="311"/>
      <c r="U43" s="2782" t="s">
        <v>87</v>
      </c>
      <c r="V43" s="2724" t="s">
        <v>428</v>
      </c>
      <c r="W43" s="237"/>
      <c r="X43" s="2757" t="s">
        <v>429</v>
      </c>
      <c r="Y43" s="2792"/>
      <c r="Z43" s="2792"/>
      <c r="AA43" s="2792"/>
      <c r="AB43" s="2792"/>
      <c r="AC43" s="2758"/>
      <c r="AD43" s="2758"/>
      <c r="AE43" s="2759"/>
      <c r="AF43" s="2760" t="s">
        <v>430</v>
      </c>
      <c r="AG43" s="2757" t="s">
        <v>429</v>
      </c>
      <c r="AH43" s="2792"/>
      <c r="AI43" s="2792"/>
      <c r="AJ43" s="2792"/>
      <c r="AK43" s="2792"/>
      <c r="AL43" s="2758"/>
      <c r="AM43" s="2758"/>
      <c r="AN43" s="2759"/>
      <c r="AO43" s="2760" t="s">
        <v>431</v>
      </c>
      <c r="AP43" s="2783" t="s">
        <v>432</v>
      </c>
      <c r="AQ43" s="2638"/>
      <c r="AW43" s="1073">
        <v>14</v>
      </c>
    </row>
    <row r="44" spans="1:49" ht="35.65" customHeight="1">
      <c r="R44" s="311"/>
      <c r="S44" s="311"/>
      <c r="T44" s="311"/>
      <c r="U44" s="2782"/>
      <c r="V44" s="2724"/>
      <c r="W44" s="953"/>
      <c r="X44" s="2710" t="s">
        <v>457</v>
      </c>
      <c r="Y44" s="2638" t="s">
        <v>458</v>
      </c>
      <c r="Z44" s="2638"/>
      <c r="AA44" s="2638"/>
      <c r="AB44" s="2638"/>
      <c r="AC44" s="2710" t="s">
        <v>436</v>
      </c>
      <c r="AD44" s="2806"/>
      <c r="AE44" s="2711"/>
      <c r="AF44" s="2761"/>
      <c r="AG44" s="2710" t="s">
        <v>457</v>
      </c>
      <c r="AH44" s="2638" t="s">
        <v>458</v>
      </c>
      <c r="AI44" s="2638"/>
      <c r="AJ44" s="2638"/>
      <c r="AK44" s="2638"/>
      <c r="AL44" s="2710" t="s">
        <v>436</v>
      </c>
      <c r="AM44" s="2806"/>
      <c r="AN44" s="2711"/>
      <c r="AO44" s="2761"/>
      <c r="AP44" s="2784"/>
      <c r="AQ44" s="2638"/>
      <c r="AW44" s="1073">
        <v>34</v>
      </c>
    </row>
    <row r="45" spans="1:49" ht="14.65" customHeight="1">
      <c r="R45" s="311"/>
      <c r="S45" s="311"/>
      <c r="T45" s="311"/>
      <c r="U45" s="2782"/>
      <c r="V45" s="2724"/>
      <c r="W45" s="953"/>
      <c r="X45" s="2712"/>
      <c r="Y45" s="2738" t="s">
        <v>459</v>
      </c>
      <c r="Z45" s="2733" t="s">
        <v>460</v>
      </c>
      <c r="AA45" s="2734"/>
      <c r="AB45" s="2735"/>
      <c r="AC45" s="2715"/>
      <c r="AD45" s="2807"/>
      <c r="AE45" s="2716"/>
      <c r="AF45" s="2761"/>
      <c r="AG45" s="2712"/>
      <c r="AH45" s="2738" t="s">
        <v>459</v>
      </c>
      <c r="AI45" s="2733" t="s">
        <v>460</v>
      </c>
      <c r="AJ45" s="2734"/>
      <c r="AK45" s="2735"/>
      <c r="AL45" s="2715"/>
      <c r="AM45" s="2807"/>
      <c r="AN45" s="2716"/>
      <c r="AO45" s="2761"/>
      <c r="AP45" s="2784"/>
      <c r="AQ45" s="2638"/>
      <c r="AW45" s="1073">
        <v>14</v>
      </c>
    </row>
    <row r="46" spans="1:49" ht="27.4" customHeight="1">
      <c r="R46" s="311"/>
      <c r="S46" s="311"/>
      <c r="T46" s="311"/>
      <c r="U46" s="2782"/>
      <c r="V46" s="2724"/>
      <c r="W46" s="953"/>
      <c r="X46" s="2712"/>
      <c r="Y46" s="2808"/>
      <c r="Z46" s="2738" t="s">
        <v>461</v>
      </c>
      <c r="AA46" s="2733" t="s">
        <v>462</v>
      </c>
      <c r="AB46" s="2735"/>
      <c r="AC46" s="2738" t="s">
        <v>446</v>
      </c>
      <c r="AD46" s="2740" t="s">
        <v>447</v>
      </c>
      <c r="AE46" s="2742"/>
      <c r="AF46" s="2761"/>
      <c r="AG46" s="2712"/>
      <c r="AH46" s="2808"/>
      <c r="AI46" s="2738" t="s">
        <v>461</v>
      </c>
      <c r="AJ46" s="2733" t="s">
        <v>462</v>
      </c>
      <c r="AK46" s="2735"/>
      <c r="AL46" s="2738" t="s">
        <v>446</v>
      </c>
      <c r="AM46" s="2740" t="s">
        <v>447</v>
      </c>
      <c r="AN46" s="2742"/>
      <c r="AO46" s="2761"/>
      <c r="AP46" s="2784"/>
      <c r="AQ46" s="2638"/>
      <c r="AW46" s="1073">
        <v>26</v>
      </c>
    </row>
    <row r="47" spans="1:49" ht="65.25" customHeight="1">
      <c r="A47" s="1177"/>
      <c r="B47" s="1177" t="s">
        <v>134</v>
      </c>
      <c r="C47" s="1177" t="s">
        <v>135</v>
      </c>
      <c r="D47" s="1177" t="s">
        <v>136</v>
      </c>
      <c r="E47" s="1228" t="s">
        <v>437</v>
      </c>
      <c r="F47" s="1228" t="s">
        <v>438</v>
      </c>
      <c r="G47" s="1228" t="s">
        <v>439</v>
      </c>
      <c r="H47" s="1228" t="s">
        <v>440</v>
      </c>
      <c r="I47" s="1228" t="s">
        <v>441</v>
      </c>
      <c r="J47" s="1228" t="s">
        <v>442</v>
      </c>
      <c r="K47" s="1228" t="s">
        <v>443</v>
      </c>
      <c r="L47" s="1228" t="s">
        <v>463</v>
      </c>
      <c r="M47" s="1228" t="s">
        <v>417</v>
      </c>
      <c r="R47" s="311"/>
      <c r="S47" s="311"/>
      <c r="T47" s="311"/>
      <c r="U47" s="2782"/>
      <c r="V47" s="2724"/>
      <c r="W47" s="238"/>
      <c r="X47" s="2715"/>
      <c r="Y47" s="2739"/>
      <c r="Z47" s="2739"/>
      <c r="AA47" s="1140" t="s">
        <v>464</v>
      </c>
      <c r="AB47" s="1140" t="s">
        <v>465</v>
      </c>
      <c r="AC47" s="2739"/>
      <c r="AD47" s="2741"/>
      <c r="AE47" s="2743"/>
      <c r="AF47" s="2762"/>
      <c r="AG47" s="2715"/>
      <c r="AH47" s="2739"/>
      <c r="AI47" s="2739"/>
      <c r="AJ47" s="1140" t="s">
        <v>464</v>
      </c>
      <c r="AK47" s="1140" t="s">
        <v>465</v>
      </c>
      <c r="AL47" s="2739"/>
      <c r="AM47" s="2741"/>
      <c r="AN47" s="2743"/>
      <c r="AO47" s="2762"/>
      <c r="AP47" s="2785"/>
      <c r="AQ47" s="2638"/>
      <c r="AW47" s="1073">
        <v>62</v>
      </c>
    </row>
    <row r="48" spans="1:49" s="2544"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108</v>
      </c>
      <c r="V48" s="1173" t="s">
        <v>109</v>
      </c>
      <c r="W48" s="1163" t="str">
        <f ca="1">OFFSET(W48,0,-1)</f>
        <v>2</v>
      </c>
      <c r="X48" s="1253">
        <f ca="1">OFFSET(X48,0,-1)+1</f>
        <v>3</v>
      </c>
      <c r="Y48" s="1259"/>
      <c r="Z48" s="1259"/>
      <c r="AA48" s="1259">
        <f ca="1">OFFSET(AA48,0,-1)+1</f>
        <v>1</v>
      </c>
      <c r="AB48" s="1259">
        <f ca="1">OFFSET(AB48,0,-1)+1</f>
        <v>2</v>
      </c>
      <c r="AC48" s="1253">
        <f ca="1">OFFSET(AC48,0,-1)+1</f>
        <v>3</v>
      </c>
      <c r="AD48" s="2765">
        <f ca="1">OFFSET(AD48,0,-1)+1</f>
        <v>4</v>
      </c>
      <c r="AE48" s="2765"/>
      <c r="AF48" s="1253">
        <f ca="1">OFFSET(AF48,0,-2)+1</f>
        <v>5</v>
      </c>
      <c r="AG48" s="1253">
        <f ca="1">OFFSET(AG48,0,-1)+1</f>
        <v>6</v>
      </c>
      <c r="AH48" s="1253"/>
      <c r="AI48" s="1253"/>
      <c r="AJ48" s="1253">
        <f ca="1">OFFSET(AJ48,0,-1)+1</f>
        <v>1</v>
      </c>
      <c r="AK48" s="1253">
        <f ca="1">OFFSET(AK48,0,-1)+1</f>
        <v>2</v>
      </c>
      <c r="AL48" s="1253">
        <f ca="1">OFFSET(AL48,0,-1)+1</f>
        <v>3</v>
      </c>
      <c r="AM48" s="2765">
        <f ca="1">OFFSET(AM48,0,-1)+1</f>
        <v>4</v>
      </c>
      <c r="AN48" s="2765"/>
      <c r="AO48" s="1253">
        <f ca="1">OFFSET(AO48,0,-2)+1</f>
        <v>5</v>
      </c>
      <c r="AP48" s="1163">
        <f ca="1">OFFSET(AP48,0,-1)</f>
        <v>5</v>
      </c>
      <c r="AQ48" s="1253">
        <f ca="1">OFFSET(AQ48,0,-1)+1</f>
        <v>6</v>
      </c>
      <c r="AR48" s="446"/>
      <c r="AS48" s="446"/>
      <c r="AT48" s="446"/>
      <c r="AU48" s="446"/>
      <c r="AV48" s="446"/>
      <c r="AW48" s="431">
        <v>0</v>
      </c>
    </row>
    <row r="49" spans="1:49" ht="21.95" customHeight="1">
      <c r="A49" s="1185" t="s">
        <v>178</v>
      </c>
      <c r="B49" s="1185"/>
      <c r="C49" s="1185"/>
      <c r="D49" s="1185"/>
      <c r="E49" s="2790">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122</v>
      </c>
      <c r="W49" s="236"/>
      <c r="X49" s="2766"/>
      <c r="Y49" s="2767"/>
      <c r="Z49" s="2767"/>
      <c r="AA49" s="2767"/>
      <c r="AB49" s="2767"/>
      <c r="AC49" s="2767"/>
      <c r="AD49" s="2767"/>
      <c r="AE49" s="2767"/>
      <c r="AF49" s="2768"/>
      <c r="AG49" s="2766" t="str">
        <f>INDEX(PT_DIFFERENTIATION_NTAR,MATCH(A49,PT_DIFFERENTIATION_NTAR_ID,0))</f>
        <v/>
      </c>
      <c r="AH49" s="2767"/>
      <c r="AI49" s="2767"/>
      <c r="AJ49" s="2767"/>
      <c r="AK49" s="2767"/>
      <c r="AL49" s="2767"/>
      <c r="AM49" s="2767"/>
      <c r="AN49" s="2767"/>
      <c r="AO49" s="2767"/>
      <c r="AP49" s="2768"/>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178</v>
      </c>
      <c r="B50" s="1185" t="s">
        <v>179</v>
      </c>
      <c r="C50" s="1185"/>
      <c r="D50" s="1185"/>
      <c r="E50" s="2791"/>
      <c r="F50" s="2790">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399</v>
      </c>
      <c r="W50" s="236"/>
      <c r="X50" s="2766"/>
      <c r="Y50" s="2767"/>
      <c r="Z50" s="2767"/>
      <c r="AA50" s="2767"/>
      <c r="AB50" s="2767"/>
      <c r="AC50" s="2767"/>
      <c r="AD50" s="2767"/>
      <c r="AE50" s="2767"/>
      <c r="AF50" s="2768"/>
      <c r="AG50" s="2766" t="str">
        <f>INDEX(PT_DIFFERENTIATION_TER,MATCH(B50,PT_DIFFERENTIATION_TER_ID,0))</f>
        <v/>
      </c>
      <c r="AH50" s="2767"/>
      <c r="AI50" s="2767"/>
      <c r="AJ50" s="2767"/>
      <c r="AK50" s="2767"/>
      <c r="AL50" s="2767"/>
      <c r="AM50" s="2767"/>
      <c r="AN50" s="2767"/>
      <c r="AO50" s="2767"/>
      <c r="AP50" s="2768"/>
      <c r="AQ50" s="1176" t="s">
        <v>400</v>
      </c>
      <c r="AS50" s="435"/>
      <c r="AT50" s="435" t="str">
        <f t="shared" si="2"/>
        <v>Территория действия тарифа</v>
      </c>
      <c r="AU50" s="435"/>
      <c r="AV50" s="435"/>
      <c r="AW50" s="1073">
        <v>21</v>
      </c>
    </row>
    <row r="51" spans="1:49" ht="24" customHeight="1">
      <c r="A51" s="1185" t="s">
        <v>178</v>
      </c>
      <c r="B51" s="1185" t="s">
        <v>179</v>
      </c>
      <c r="C51" s="1185" t="s">
        <v>180</v>
      </c>
      <c r="D51" s="1185"/>
      <c r="E51" s="2791"/>
      <c r="F51" s="2791"/>
      <c r="G51" s="2790">
        <v>1</v>
      </c>
      <c r="H51" s="1185"/>
      <c r="I51" s="1185"/>
      <c r="J51" s="1185"/>
      <c r="K51" s="1185"/>
      <c r="L51" s="1185"/>
      <c r="M51" s="1228"/>
      <c r="N51" s="623"/>
      <c r="O51" s="623"/>
      <c r="P51" s="623"/>
      <c r="Q51" s="289"/>
      <c r="R51" s="287"/>
      <c r="S51" s="444"/>
      <c r="T51" s="288"/>
      <c r="U51" s="1254" t="str">
        <f>INDEX(PT_DIFFERENTIATION_NUM_CS,MATCH(C51,PT_DIFFERENTIATION_CS_ID,0))</f>
        <v>..</v>
      </c>
      <c r="V51" s="245" t="s">
        <v>401</v>
      </c>
      <c r="W51" s="236"/>
      <c r="X51" s="2766"/>
      <c r="Y51" s="2767"/>
      <c r="Z51" s="2767"/>
      <c r="AA51" s="2767"/>
      <c r="AB51" s="2767"/>
      <c r="AC51" s="2767"/>
      <c r="AD51" s="2767"/>
      <c r="AE51" s="2767"/>
      <c r="AF51" s="2768"/>
      <c r="AG51" s="2766" t="str">
        <f>INDEX(PT_DIFFERENTIATION_CS,MATCH(C51,PT_DIFFERENTIATION_CS_ID,0))</f>
        <v/>
      </c>
      <c r="AH51" s="2767"/>
      <c r="AI51" s="2767"/>
      <c r="AJ51" s="2767"/>
      <c r="AK51" s="2767"/>
      <c r="AL51" s="2767"/>
      <c r="AM51" s="2767"/>
      <c r="AN51" s="2767"/>
      <c r="AO51" s="2767"/>
      <c r="AP51" s="2768"/>
      <c r="AQ51" s="1176" t="s">
        <v>402</v>
      </c>
      <c r="AS51" s="435"/>
      <c r="AT51" s="435" t="str">
        <f t="shared" si="2"/>
        <v xml:space="preserve">Наименование системы теплоснабжения </v>
      </c>
      <c r="AU51" s="435"/>
      <c r="AV51" s="435"/>
      <c r="AW51" s="1073">
        <v>23</v>
      </c>
    </row>
    <row r="52" spans="1:49" ht="21.95" customHeight="1">
      <c r="A52" s="1185" t="s">
        <v>178</v>
      </c>
      <c r="B52" s="1185" t="s">
        <v>179</v>
      </c>
      <c r="C52" s="1185" t="s">
        <v>180</v>
      </c>
      <c r="D52" s="1185" t="s">
        <v>181</v>
      </c>
      <c r="E52" s="2791"/>
      <c r="F52" s="2791"/>
      <c r="G52" s="2791"/>
      <c r="H52" s="2790">
        <v>1</v>
      </c>
      <c r="I52" s="1185"/>
      <c r="J52" s="1185"/>
      <c r="K52" s="1185"/>
      <c r="L52" s="1185"/>
      <c r="M52" s="1228"/>
      <c r="N52" s="623"/>
      <c r="O52" s="623"/>
      <c r="P52" s="623"/>
      <c r="Q52" s="289"/>
      <c r="R52" s="287"/>
      <c r="S52" s="444"/>
      <c r="T52" s="288"/>
      <c r="U52" s="1254" t="str">
        <f>INDEX(PT_DIFFERENTIATION_NUM_IST_TE,MATCH(D52,PT_DIFFERENTIATION_IST_TE_ID,0))</f>
        <v>...</v>
      </c>
      <c r="V52" s="246" t="s">
        <v>403</v>
      </c>
      <c r="W52" s="236"/>
      <c r="X52" s="2766"/>
      <c r="Y52" s="2767"/>
      <c r="Z52" s="2767"/>
      <c r="AA52" s="2767"/>
      <c r="AB52" s="2767"/>
      <c r="AC52" s="2767"/>
      <c r="AD52" s="2767"/>
      <c r="AE52" s="2767"/>
      <c r="AF52" s="2768"/>
      <c r="AG52" s="2766" t="str">
        <f>INDEX(PT_DIFFERENTIATION_IST_TE,MATCH(D52,PT_DIFFERENTIATION_IST_TE_ID,0))</f>
        <v/>
      </c>
      <c r="AH52" s="2767"/>
      <c r="AI52" s="2767"/>
      <c r="AJ52" s="2767"/>
      <c r="AK52" s="2767"/>
      <c r="AL52" s="2767"/>
      <c r="AM52" s="2767"/>
      <c r="AN52" s="2767"/>
      <c r="AO52" s="2767"/>
      <c r="AP52" s="2768"/>
      <c r="AQ52" s="1176" t="s">
        <v>404</v>
      </c>
      <c r="AS52" s="435"/>
      <c r="AT52" s="435" t="str">
        <f t="shared" si="2"/>
        <v xml:space="preserve">Источник тепловой энергии  </v>
      </c>
      <c r="AU52" s="435"/>
      <c r="AV52" s="435"/>
      <c r="AW52" s="1073">
        <v>21</v>
      </c>
    </row>
    <row r="53" spans="1:49" s="2520" customFormat="1" ht="0" hidden="1" customHeight="1">
      <c r="A53" s="1293" t="s">
        <v>178</v>
      </c>
      <c r="B53" s="1293" t="s">
        <v>179</v>
      </c>
      <c r="C53" s="1293" t="s">
        <v>180</v>
      </c>
      <c r="D53" s="1293" t="s">
        <v>181</v>
      </c>
      <c r="E53" s="2791"/>
      <c r="F53" s="2791"/>
      <c r="G53" s="2791"/>
      <c r="H53" s="2791"/>
      <c r="I53" s="2638" t="str">
        <f>U52&amp;".1"</f>
        <v>....1</v>
      </c>
      <c r="J53" s="1293"/>
      <c r="K53" s="1293"/>
      <c r="L53" s="1293"/>
      <c r="M53" s="1299" t="s">
        <v>405</v>
      </c>
      <c r="N53" s="1164"/>
      <c r="O53" s="1164"/>
      <c r="P53" s="1164"/>
      <c r="Q53" s="2777">
        <v>1</v>
      </c>
      <c r="R53" s="1249"/>
      <c r="S53" s="1249"/>
      <c r="T53" s="291"/>
      <c r="U53" s="964"/>
      <c r="V53" s="1301"/>
      <c r="W53" s="1302"/>
      <c r="X53" s="2795"/>
      <c r="Y53" s="2796"/>
      <c r="Z53" s="2796"/>
      <c r="AA53" s="2796"/>
      <c r="AB53" s="2796"/>
      <c r="AC53" s="2796"/>
      <c r="AD53" s="2796"/>
      <c r="AE53" s="2796"/>
      <c r="AF53" s="2797"/>
      <c r="AG53" s="2795"/>
      <c r="AH53" s="2796"/>
      <c r="AI53" s="2796"/>
      <c r="AJ53" s="2796"/>
      <c r="AK53" s="2796"/>
      <c r="AL53" s="2796"/>
      <c r="AM53" s="2796"/>
      <c r="AN53" s="2796"/>
      <c r="AO53" s="2796"/>
      <c r="AP53" s="2797"/>
      <c r="AQ53" s="1303"/>
      <c r="AS53" s="435"/>
      <c r="AT53" s="435" t="str">
        <f t="shared" si="2"/>
        <v/>
      </c>
      <c r="AU53" s="435"/>
      <c r="AV53" s="435"/>
      <c r="AW53" s="446">
        <v>0</v>
      </c>
    </row>
    <row r="54" spans="1:49" ht="21.95" customHeight="1">
      <c r="A54" s="1185" t="s">
        <v>178</v>
      </c>
      <c r="B54" s="1185" t="s">
        <v>179</v>
      </c>
      <c r="C54" s="1185" t="s">
        <v>180</v>
      </c>
      <c r="D54" s="1185" t="s">
        <v>181</v>
      </c>
      <c r="E54" s="2791"/>
      <c r="F54" s="2791"/>
      <c r="G54" s="2791"/>
      <c r="H54" s="2791"/>
      <c r="I54" s="2610"/>
      <c r="J54" s="2638" t="str">
        <f>I53&amp;".1"</f>
        <v>....1.1</v>
      </c>
      <c r="K54" s="1185"/>
      <c r="L54" s="1185"/>
      <c r="M54" s="1228" t="s">
        <v>408</v>
      </c>
      <c r="Q54" s="2777"/>
      <c r="R54" s="2777">
        <v>1</v>
      </c>
      <c r="S54" s="453"/>
      <c r="T54" s="292"/>
      <c r="U54" s="1254" t="str">
        <f>$J54</f>
        <v>....1.1</v>
      </c>
      <c r="V54" s="222" t="s">
        <v>409</v>
      </c>
      <c r="W54" s="236"/>
      <c r="X54" s="2769"/>
      <c r="Y54" s="2770"/>
      <c r="Z54" s="2770"/>
      <c r="AA54" s="2770"/>
      <c r="AB54" s="2770"/>
      <c r="AC54" s="2747"/>
      <c r="AD54" s="2747"/>
      <c r="AE54" s="2747"/>
      <c r="AF54" s="2805"/>
      <c r="AG54" s="2769"/>
      <c r="AH54" s="2770"/>
      <c r="AI54" s="2770"/>
      <c r="AJ54" s="2770"/>
      <c r="AK54" s="2770"/>
      <c r="AL54" s="2770"/>
      <c r="AM54" s="2770"/>
      <c r="AN54" s="2770"/>
      <c r="AO54" s="2770"/>
      <c r="AP54" s="2771"/>
      <c r="AQ54" s="1176" t="s">
        <v>410</v>
      </c>
      <c r="AS54" s="435"/>
      <c r="AT54" s="435" t="str">
        <f t="shared" si="2"/>
        <v>Группа потребителей</v>
      </c>
      <c r="AU54" s="435"/>
      <c r="AV54" s="435"/>
      <c r="AW54" s="1073">
        <v>21</v>
      </c>
    </row>
    <row r="55" spans="1:49" ht="21.95" customHeight="1">
      <c r="A55" s="1185" t="s">
        <v>178</v>
      </c>
      <c r="B55" s="1185" t="s">
        <v>179</v>
      </c>
      <c r="C55" s="1185" t="s">
        <v>180</v>
      </c>
      <c r="D55" s="1185" t="s">
        <v>181</v>
      </c>
      <c r="E55" s="2791"/>
      <c r="F55" s="2791"/>
      <c r="G55" s="2791"/>
      <c r="H55" s="2791"/>
      <c r="I55" s="2610"/>
      <c r="J55" s="2610"/>
      <c r="K55" s="2638" t="str">
        <f>J54&amp;".1"</f>
        <v>....1.1.1</v>
      </c>
      <c r="L55" s="77"/>
      <c r="M55" s="1228" t="s">
        <v>411</v>
      </c>
      <c r="Q55" s="2777"/>
      <c r="R55" s="2777"/>
      <c r="S55" s="453">
        <v>1</v>
      </c>
      <c r="T55" s="292"/>
      <c r="U55" s="1254" t="str">
        <f>$K55</f>
        <v>....1.1.1</v>
      </c>
      <c r="V55" s="1265"/>
      <c r="W55" s="236"/>
      <c r="X55" s="686"/>
      <c r="Y55" s="686"/>
      <c r="Z55" s="686"/>
      <c r="AA55" s="686"/>
      <c r="AB55" s="1323"/>
      <c r="AC55" s="2753"/>
      <c r="AD55" s="2619" t="s">
        <v>66</v>
      </c>
      <c r="AE55" s="2753"/>
      <c r="AF55" s="2619" t="s">
        <v>66</v>
      </c>
      <c r="AG55" s="1325"/>
      <c r="AH55" s="686"/>
      <c r="AI55" s="686"/>
      <c r="AJ55" s="686"/>
      <c r="AK55" s="1175"/>
      <c r="AL55" s="2753"/>
      <c r="AM55" s="2619" t="s">
        <v>66</v>
      </c>
      <c r="AN55" s="2753"/>
      <c r="AO55" s="2619" t="s">
        <v>66</v>
      </c>
      <c r="AP55" s="1266"/>
      <c r="AQ55" s="1225" t="s">
        <v>454</v>
      </c>
      <c r="AR55" s="446" t="e">
        <f ca="1">STRCHECKDATE(X57:AP57)</f>
        <v>#NAME?</v>
      </c>
      <c r="AS55" s="435"/>
      <c r="AT55" s="435" t="str">
        <f t="shared" si="2"/>
        <v/>
      </c>
      <c r="AU55" s="435"/>
      <c r="AV55" s="435"/>
      <c r="AW55" s="1073">
        <v>21</v>
      </c>
    </row>
    <row r="56" spans="1:49" ht="11.45" customHeight="1">
      <c r="A56" s="1185" t="s">
        <v>178</v>
      </c>
      <c r="B56" s="1185" t="s">
        <v>179</v>
      </c>
      <c r="C56" s="1185" t="s">
        <v>180</v>
      </c>
      <c r="D56" s="1185" t="s">
        <v>181</v>
      </c>
      <c r="E56" s="2791"/>
      <c r="F56" s="2791"/>
      <c r="G56" s="2791"/>
      <c r="H56" s="2791"/>
      <c r="I56" s="2610"/>
      <c r="J56" s="2610"/>
      <c r="K56" s="2610"/>
      <c r="L56" s="2638" t="str">
        <f>K55&amp;".1"</f>
        <v>....1.1.1.1</v>
      </c>
      <c r="M56" s="1228"/>
      <c r="Q56" s="2777"/>
      <c r="R56" s="2777"/>
      <c r="S56" s="453">
        <v>1</v>
      </c>
      <c r="T56" s="292"/>
      <c r="U56" s="1254" t="str">
        <f>$L56</f>
        <v>....1.1.1.1</v>
      </c>
      <c r="V56" s="1309"/>
      <c r="W56" s="236"/>
      <c r="X56" s="261"/>
      <c r="Y56" s="686"/>
      <c r="Z56" s="686"/>
      <c r="AA56" s="686"/>
      <c r="AB56" s="1323"/>
      <c r="AC56" s="2752"/>
      <c r="AD56" s="2619"/>
      <c r="AE56" s="2752"/>
      <c r="AF56" s="2619"/>
      <c r="AG56" s="1325"/>
      <c r="AH56" s="686"/>
      <c r="AI56" s="686"/>
      <c r="AJ56" s="686"/>
      <c r="AK56" s="1175"/>
      <c r="AL56" s="2752"/>
      <c r="AM56" s="2619"/>
      <c r="AN56" s="2752"/>
      <c r="AO56" s="2619"/>
      <c r="AP56" s="1266"/>
      <c r="AQ56" s="2773" t="s">
        <v>455</v>
      </c>
      <c r="AR56" s="446" t="e">
        <f ca="1">STRCHECKDATE(X58:AP58)</f>
        <v>#NAME?</v>
      </c>
      <c r="AS56" s="435"/>
      <c r="AT56" s="435" t="str">
        <f t="shared" si="2"/>
        <v/>
      </c>
      <c r="AU56" s="435"/>
      <c r="AV56" s="435"/>
      <c r="AW56" s="1073">
        <v>11</v>
      </c>
    </row>
    <row r="57" spans="1:49" ht="0" hidden="1" customHeight="1">
      <c r="A57" s="1185" t="s">
        <v>178</v>
      </c>
      <c r="B57" s="1185" t="s">
        <v>179</v>
      </c>
      <c r="C57" s="1185" t="s">
        <v>180</v>
      </c>
      <c r="D57" s="1185" t="s">
        <v>181</v>
      </c>
      <c r="E57" s="2791"/>
      <c r="F57" s="2791"/>
      <c r="G57" s="2791"/>
      <c r="H57" s="2791"/>
      <c r="I57" s="2610"/>
      <c r="J57" s="2610"/>
      <c r="K57" s="2610"/>
      <c r="L57" s="2638"/>
      <c r="M57" s="1228"/>
      <c r="Q57" s="2777"/>
      <c r="R57" s="2777"/>
      <c r="S57" s="453"/>
      <c r="T57" s="292"/>
      <c r="U57" s="1260"/>
      <c r="V57" s="236"/>
      <c r="W57" s="236"/>
      <c r="X57" s="261"/>
      <c r="Y57" s="261"/>
      <c r="Z57" s="261"/>
      <c r="AA57" s="261"/>
      <c r="AB57" s="1324" t="str">
        <f>AC55&amp;"-"&amp;AE55</f>
        <v>-</v>
      </c>
      <c r="AC57" s="2752"/>
      <c r="AD57" s="2619"/>
      <c r="AE57" s="2752"/>
      <c r="AF57" s="2619"/>
      <c r="AG57" s="1300"/>
      <c r="AH57" s="261"/>
      <c r="AI57" s="261"/>
      <c r="AJ57" s="261"/>
      <c r="AK57" s="264" t="str">
        <f>AL55&amp;"-"&amp;AN55</f>
        <v>-</v>
      </c>
      <c r="AL57" s="2752"/>
      <c r="AM57" s="2619"/>
      <c r="AN57" s="2752"/>
      <c r="AO57" s="2619"/>
      <c r="AP57" s="1267"/>
      <c r="AQ57" s="2774"/>
      <c r="AS57" s="435"/>
      <c r="AT57" s="435" t="str">
        <f t="shared" si="2"/>
        <v/>
      </c>
      <c r="AU57" s="435"/>
      <c r="AV57" s="435"/>
      <c r="AW57" s="1073">
        <v>0</v>
      </c>
    </row>
    <row r="58" spans="1:49" ht="11.45" customHeight="1">
      <c r="A58" s="1185" t="s">
        <v>178</v>
      </c>
      <c r="B58" s="1185" t="s">
        <v>179</v>
      </c>
      <c r="C58" s="1185" t="s">
        <v>180</v>
      </c>
      <c r="D58" s="1185" t="s">
        <v>181</v>
      </c>
      <c r="E58" s="2791"/>
      <c r="F58" s="2791"/>
      <c r="G58" s="2791"/>
      <c r="H58" s="2791"/>
      <c r="I58" s="2610"/>
      <c r="J58" s="2610"/>
      <c r="K58" s="2638"/>
      <c r="L58" s="1185"/>
      <c r="M58" s="1228"/>
      <c r="Q58" s="2777"/>
      <c r="R58" s="2777"/>
      <c r="S58" s="1249"/>
      <c r="T58" s="291"/>
      <c r="U58" s="1196"/>
      <c r="V58" s="224" t="s">
        <v>456</v>
      </c>
      <c r="W58" s="302"/>
      <c r="X58" s="302"/>
      <c r="Y58" s="302"/>
      <c r="Z58" s="302"/>
      <c r="AA58" s="302"/>
      <c r="AB58" s="302"/>
      <c r="AC58" s="2752"/>
      <c r="AD58" s="2619"/>
      <c r="AE58" s="2752"/>
      <c r="AF58" s="2619"/>
      <c r="AG58" s="302"/>
      <c r="AH58" s="302"/>
      <c r="AI58" s="302"/>
      <c r="AJ58" s="302"/>
      <c r="AK58" s="302"/>
      <c r="AL58" s="2752"/>
      <c r="AM58" s="2619"/>
      <c r="AN58" s="2752"/>
      <c r="AO58" s="2619"/>
      <c r="AP58" s="260"/>
      <c r="AQ58" s="2774"/>
      <c r="AS58" s="435"/>
      <c r="AT58" s="435" t="str">
        <f t="shared" si="2"/>
        <v>Добавить наименование поставщика</v>
      </c>
      <c r="AU58" s="435"/>
      <c r="AV58" s="435"/>
      <c r="AW58" s="1073">
        <v>11</v>
      </c>
    </row>
    <row r="59" spans="1:49" ht="11.45" customHeight="1">
      <c r="A59" s="1185" t="s">
        <v>178</v>
      </c>
      <c r="B59" s="1185" t="s">
        <v>179</v>
      </c>
      <c r="C59" s="1185" t="s">
        <v>180</v>
      </c>
      <c r="D59" s="1185" t="s">
        <v>181</v>
      </c>
      <c r="E59" s="2791"/>
      <c r="F59" s="2791"/>
      <c r="G59" s="2791"/>
      <c r="H59" s="2791"/>
      <c r="I59" s="2610"/>
      <c r="J59" s="2638"/>
      <c r="K59" s="1185"/>
      <c r="L59" s="1185"/>
      <c r="M59" s="1228"/>
      <c r="Q59" s="2777"/>
      <c r="R59" s="2777"/>
      <c r="S59" s="1249"/>
      <c r="T59" s="291"/>
      <c r="U59" s="1196"/>
      <c r="V59" s="223" t="s">
        <v>413</v>
      </c>
      <c r="W59" s="302"/>
      <c r="X59" s="302"/>
      <c r="Y59" s="302"/>
      <c r="Z59" s="302"/>
      <c r="AA59" s="302"/>
      <c r="AB59" s="302"/>
      <c r="AC59" s="1326"/>
      <c r="AD59" s="1326"/>
      <c r="AE59" s="1326"/>
      <c r="AF59" s="1326"/>
      <c r="AG59" s="302"/>
      <c r="AH59" s="302"/>
      <c r="AI59" s="302"/>
      <c r="AJ59" s="302"/>
      <c r="AK59" s="302"/>
      <c r="AL59" s="302"/>
      <c r="AM59" s="302"/>
      <c r="AN59" s="302"/>
      <c r="AO59" s="302"/>
      <c r="AP59" s="260"/>
      <c r="AQ59" s="2775"/>
      <c r="AS59" s="435"/>
      <c r="AT59" s="435" t="str">
        <f t="shared" si="2"/>
        <v>Добавить вид теплоносителя (параметры теплоносителя)</v>
      </c>
      <c r="AU59" s="435"/>
      <c r="AV59" s="435"/>
      <c r="AW59" s="1073">
        <v>11</v>
      </c>
    </row>
    <row r="60" spans="1:49" ht="11.45" customHeight="1">
      <c r="A60" s="1185" t="s">
        <v>178</v>
      </c>
      <c r="B60" s="1185" t="s">
        <v>179</v>
      </c>
      <c r="C60" s="1185" t="s">
        <v>180</v>
      </c>
      <c r="D60" s="1185" t="s">
        <v>181</v>
      </c>
      <c r="E60" s="2791"/>
      <c r="F60" s="2791"/>
      <c r="G60" s="2791"/>
      <c r="H60" s="2791"/>
      <c r="I60" s="2638"/>
      <c r="J60" s="1185"/>
      <c r="K60" s="1185"/>
      <c r="L60" s="1185"/>
      <c r="M60" s="1228"/>
      <c r="Q60" s="2777"/>
      <c r="R60" s="1249"/>
      <c r="S60" s="1249"/>
      <c r="T60" s="291"/>
      <c r="U60" s="1196"/>
      <c r="V60" s="300" t="s">
        <v>414</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178</v>
      </c>
      <c r="B61" s="1185" t="s">
        <v>179</v>
      </c>
      <c r="C61" s="1185" t="s">
        <v>180</v>
      </c>
      <c r="D61" s="1185" t="s">
        <v>181</v>
      </c>
      <c r="E61" s="2791"/>
      <c r="F61" s="2791"/>
      <c r="G61" s="2791"/>
      <c r="H61" s="2790"/>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520" customFormat="1" ht="0" hidden="1" customHeight="1">
      <c r="A62" s="1293" t="s">
        <v>178</v>
      </c>
      <c r="B62" s="1293" t="s">
        <v>179</v>
      </c>
      <c r="C62" s="1293" t="s">
        <v>180</v>
      </c>
      <c r="D62" s="1292"/>
      <c r="E62" s="2791"/>
      <c r="F62" s="2791"/>
      <c r="G62" s="2790"/>
      <c r="H62" s="1292"/>
      <c r="I62" s="1292"/>
      <c r="J62" s="1292"/>
      <c r="K62" s="1292"/>
      <c r="L62" s="1292"/>
      <c r="M62" s="1295"/>
      <c r="N62" s="1296"/>
      <c r="O62" s="1296"/>
      <c r="P62" s="286"/>
      <c r="Q62" s="1234"/>
      <c r="R62" s="1235"/>
      <c r="S62" s="1234"/>
      <c r="T62" s="1234"/>
      <c r="U62" s="1240"/>
      <c r="V62" s="1243" t="s">
        <v>160</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520" customFormat="1" ht="0" hidden="1" customHeight="1">
      <c r="A63" s="1293" t="s">
        <v>178</v>
      </c>
      <c r="B63" s="1293" t="s">
        <v>179</v>
      </c>
      <c r="C63" s="1292"/>
      <c r="D63" s="1292"/>
      <c r="E63" s="2791"/>
      <c r="F63" s="2790"/>
      <c r="G63" s="1292"/>
      <c r="H63" s="1292"/>
      <c r="I63" s="1292"/>
      <c r="J63" s="1292"/>
      <c r="K63" s="1292"/>
      <c r="L63" s="1292"/>
      <c r="M63" s="1295"/>
      <c r="N63" s="1297"/>
      <c r="O63" s="1297"/>
      <c r="P63" s="286"/>
      <c r="Q63" s="1234"/>
      <c r="R63" s="1235"/>
      <c r="S63" s="1234"/>
      <c r="T63" s="1234"/>
      <c r="U63" s="1240"/>
      <c r="V63" s="1243" t="s">
        <v>161</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520" customFormat="1" ht="0" hidden="1" customHeight="1">
      <c r="A64" s="1293" t="s">
        <v>178</v>
      </c>
      <c r="B64" s="1293"/>
      <c r="C64" s="1293"/>
      <c r="D64" s="1293"/>
      <c r="E64" s="2790"/>
      <c r="F64" s="1293"/>
      <c r="G64" s="1293"/>
      <c r="H64" s="1293"/>
      <c r="I64" s="1293"/>
      <c r="J64" s="1293"/>
      <c r="K64" s="1293"/>
      <c r="L64" s="1293"/>
      <c r="M64" s="1299"/>
      <c r="N64" s="1297"/>
      <c r="O64" s="1297"/>
      <c r="P64" s="286"/>
      <c r="Q64" s="315"/>
      <c r="R64" s="1262"/>
      <c r="S64" s="315"/>
      <c r="T64" s="315"/>
      <c r="U64" s="1240"/>
      <c r="V64" s="1243" t="s">
        <v>162</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520"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163</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786"/>
      <c r="W67" s="2786"/>
      <c r="X67" s="2786"/>
      <c r="Y67" s="2786"/>
      <c r="Z67" s="2786"/>
      <c r="AA67" s="2786"/>
      <c r="AB67" s="2786"/>
      <c r="AC67" s="2786"/>
      <c r="AD67" s="2786"/>
      <c r="AE67" s="2786"/>
      <c r="AF67" s="2786"/>
      <c r="AG67" s="2786"/>
      <c r="AH67" s="2786"/>
      <c r="AI67" s="2786"/>
      <c r="AJ67" s="2786"/>
      <c r="AK67" s="2786"/>
      <c r="AL67" s="2786"/>
      <c r="AM67" s="2786"/>
      <c r="AN67" s="2786"/>
      <c r="AO67" s="2786"/>
      <c r="AP67" s="2786"/>
      <c r="AQ67" s="2786"/>
      <c r="AW67" s="1073">
        <v>34</v>
      </c>
    </row>
    <row r="68" spans="1:49" ht="21" customHeight="1">
      <c r="P68" s="444"/>
      <c r="V68" s="2786"/>
      <c r="W68" s="2786"/>
      <c r="X68" s="2786"/>
      <c r="Y68" s="2786"/>
      <c r="Z68" s="2786"/>
      <c r="AA68" s="2786"/>
      <c r="AB68" s="2786"/>
      <c r="AC68" s="2786"/>
      <c r="AD68" s="2786"/>
      <c r="AE68" s="2786"/>
      <c r="AF68" s="2786"/>
      <c r="AG68" s="2786"/>
      <c r="AH68" s="2786"/>
      <c r="AI68" s="2786"/>
      <c r="AJ68" s="2786"/>
      <c r="AK68" s="2786"/>
      <c r="AL68" s="2786"/>
      <c r="AM68" s="2786"/>
      <c r="AN68" s="2786"/>
      <c r="AO68" s="2786"/>
      <c r="AP68" s="2786"/>
      <c r="AQ68" s="2786"/>
      <c r="AW68" s="1073">
        <v>20</v>
      </c>
    </row>
    <row r="69" spans="1:49" ht="14.65" customHeight="1">
      <c r="P69" s="444"/>
      <c r="AW69" s="1073">
        <v>14</v>
      </c>
    </row>
    <row r="70" spans="1:49" ht="28.5" customHeight="1">
      <c r="P70" s="444"/>
      <c r="V70" s="2786"/>
      <c r="W70" s="2786"/>
      <c r="X70" s="2786"/>
      <c r="Y70" s="2786"/>
      <c r="Z70" s="2786"/>
      <c r="AA70" s="2786"/>
      <c r="AB70" s="2786"/>
      <c r="AC70" s="2786"/>
      <c r="AD70" s="2786"/>
      <c r="AE70" s="2786"/>
      <c r="AF70" s="2786"/>
      <c r="AG70" s="2786"/>
      <c r="AH70" s="2786"/>
      <c r="AI70" s="2786"/>
      <c r="AJ70" s="2786"/>
      <c r="AK70" s="2786"/>
      <c r="AL70" s="2786"/>
      <c r="AM70" s="2786"/>
      <c r="AN70" s="2786"/>
      <c r="AO70" s="2786"/>
      <c r="AP70" s="2786"/>
      <c r="AQ70" s="2786"/>
      <c r="AW70" s="1073">
        <v>27</v>
      </c>
    </row>
    <row r="71" spans="1:49" ht="18.75" customHeight="1">
      <c r="P71" s="444"/>
      <c r="V71" s="2786"/>
      <c r="W71" s="2786"/>
      <c r="X71" s="2786"/>
      <c r="Y71" s="2786"/>
      <c r="Z71" s="2786"/>
      <c r="AA71" s="2786"/>
      <c r="AB71" s="2786"/>
      <c r="AC71" s="2786"/>
      <c r="AD71" s="2786"/>
      <c r="AE71" s="2786"/>
      <c r="AF71" s="2786"/>
      <c r="AG71" s="2786"/>
      <c r="AH71" s="2786"/>
      <c r="AI71" s="2786"/>
      <c r="AJ71" s="2786"/>
      <c r="AK71" s="2786"/>
      <c r="AL71" s="2786"/>
      <c r="AM71" s="2786"/>
      <c r="AN71" s="2786"/>
      <c r="AO71" s="2786"/>
      <c r="AP71" s="2786"/>
      <c r="AQ71" s="2786"/>
      <c r="AW71" s="1073">
        <v>18</v>
      </c>
    </row>
    <row r="72" spans="1:49" ht="22.5" hidden="1" customHeight="1">
      <c r="A72" s="1073" t="s">
        <v>81</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L21" sqref="L21"/>
    </sheetView>
  </sheetViews>
  <sheetFormatPr defaultColWidth="9.140625" defaultRowHeight="11.25" customHeight="1"/>
  <cols>
    <col min="1" max="1" width="10.7109375" style="2514" hidden="1" customWidth="1"/>
    <col min="2" max="2" width="10.7109375" style="2515" hidden="1" customWidth="1"/>
    <col min="3" max="3" width="3" style="2516" customWidth="1"/>
    <col min="4" max="4" width="1" style="2513" customWidth="1"/>
    <col min="5" max="6" width="55" style="2513" customWidth="1"/>
    <col min="7" max="7" width="1" style="2517" customWidth="1"/>
    <col min="8" max="8" width="18" style="2513" hidden="1" customWidth="1"/>
    <col min="9" max="9" width="59" style="2518" customWidth="1"/>
    <col min="10" max="10" width="52.140625" style="2519" hidden="1" customWidth="1"/>
    <col min="11" max="11" width="8" style="2513" customWidth="1"/>
    <col min="12" max="12" width="77" style="2513" customWidth="1"/>
    <col min="13" max="16" width="8" style="2513" customWidth="1"/>
    <col min="17" max="17" width="12" style="2513" hidden="1" customWidth="1"/>
  </cols>
  <sheetData>
    <row r="1" spans="1:17" s="2510" customFormat="1" ht="3" customHeight="1">
      <c r="A1" s="712"/>
      <c r="B1" s="177"/>
      <c r="F1" s="178" t="s">
        <v>13</v>
      </c>
      <c r="G1" s="346"/>
      <c r="H1" s="10"/>
      <c r="I1" s="346"/>
      <c r="J1" s="796"/>
      <c r="Q1" s="178" t="s">
        <v>14</v>
      </c>
    </row>
    <row r="2" spans="1:17" s="2511" customFormat="1" ht="14.25" customHeight="1">
      <c r="A2" s="712"/>
      <c r="B2" s="37"/>
      <c r="E2" s="1657" t="str">
        <f>code</f>
        <v>Код отчёта: PP110.OPEN.INFO.REQUEST.HEAT.EIAS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512" customFormat="1" ht="6.4" customHeight="1">
      <c r="A4" s="713"/>
      <c r="B4" s="168"/>
      <c r="C4" s="169"/>
      <c r="D4" s="170"/>
      <c r="E4" s="179"/>
      <c r="F4" s="180"/>
      <c r="G4" s="701"/>
      <c r="H4" s="344"/>
      <c r="I4" s="346"/>
      <c r="J4" s="799"/>
      <c r="Q4" s="172">
        <v>6</v>
      </c>
    </row>
    <row r="5" spans="1:17" ht="39.75" customHeight="1">
      <c r="D5" s="14"/>
      <c r="E5" s="2609"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610"/>
      <c r="G5" s="702"/>
      <c r="J5" s="800"/>
      <c r="Q5" s="13">
        <v>38</v>
      </c>
    </row>
    <row r="6" spans="1:17" s="2512"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512" customFormat="1" ht="6.4" customHeight="1">
      <c r="A8" s="714"/>
      <c r="B8" s="168"/>
      <c r="C8" s="169"/>
      <c r="D8" s="175"/>
      <c r="E8" s="173"/>
      <c r="F8" s="176"/>
      <c r="G8" s="16"/>
      <c r="H8" s="344"/>
      <c r="I8" s="346"/>
      <c r="J8" s="802"/>
      <c r="Q8" s="172">
        <v>6</v>
      </c>
    </row>
    <row r="9" spans="1:17" s="2513" customFormat="1" ht="19.5" hidden="1" customHeight="1">
      <c r="A9" s="713"/>
      <c r="B9" s="37"/>
      <c r="C9" s="343"/>
      <c r="D9" s="345"/>
      <c r="E9" s="1083" t="s">
        <v>17</v>
      </c>
      <c r="F9" s="1836"/>
      <c r="G9" s="702"/>
      <c r="I9" s="1815" t="str">
        <f>IF(TITLE_STRUCTURE_INFO_ROIV="","","раскрывается "&amp;INDEX(ROIV_INFO_COMMENT,MATCH(TITLE_STRUCTURE_INFO_ROIV,ROIV_INFO_LIST,0)))</f>
        <v/>
      </c>
      <c r="J9" s="801"/>
      <c r="Q9" s="344">
        <v>0</v>
      </c>
    </row>
    <row r="10" spans="1:17" s="2512" customFormat="1" ht="24" hidden="1" customHeight="1">
      <c r="A10" s="714"/>
      <c r="B10" s="361"/>
      <c r="C10" s="362"/>
      <c r="D10" s="175"/>
      <c r="E10" s="1083" t="s">
        <v>18</v>
      </c>
      <c r="F10" s="1978" t="s">
        <v>19</v>
      </c>
      <c r="G10" s="16"/>
      <c r="H10" s="344"/>
      <c r="I10" s="346"/>
      <c r="J10" s="802"/>
      <c r="Q10" s="365">
        <v>24</v>
      </c>
    </row>
    <row r="11" spans="1:17" ht="22.5" customHeight="1">
      <c r="A11" s="2612" t="s">
        <v>20</v>
      </c>
      <c r="D11" s="14"/>
      <c r="E11" s="1083" t="s">
        <v>21</v>
      </c>
      <c r="F11" s="2001">
        <v>45658.632708333331</v>
      </c>
      <c r="G11" s="16"/>
      <c r="H11" s="703" t="s">
        <v>22</v>
      </c>
      <c r="J11" s="801" t="s">
        <v>23</v>
      </c>
      <c r="Q11" s="13">
        <v>0</v>
      </c>
    </row>
    <row r="12" spans="1:17" ht="22.5" customHeight="1">
      <c r="A12" s="2612"/>
      <c r="D12" s="14"/>
      <c r="E12" s="1083" t="s">
        <v>24</v>
      </c>
      <c r="F12" s="2001">
        <v>47483.633009259262</v>
      </c>
      <c r="G12" s="12"/>
      <c r="J12" s="801" t="s">
        <v>25</v>
      </c>
      <c r="Q12" s="13">
        <v>0</v>
      </c>
    </row>
    <row r="13" spans="1:17" s="2513" customFormat="1" ht="22.5" hidden="1" customHeight="1">
      <c r="A13" s="717" t="s">
        <v>26</v>
      </c>
      <c r="B13" s="37"/>
      <c r="C13" s="343"/>
      <c r="D13" s="345"/>
      <c r="E13" s="1692" t="s">
        <v>27</v>
      </c>
      <c r="F13" s="1649" t="s">
        <v>28</v>
      </c>
      <c r="G13" s="16"/>
      <c r="H13" s="700"/>
      <c r="I13" s="346"/>
      <c r="J13" s="1693" t="s">
        <v>29</v>
      </c>
      <c r="Q13" s="344">
        <v>0</v>
      </c>
    </row>
    <row r="14" spans="1:17" s="2513" customFormat="1" ht="27" hidden="1" customHeight="1">
      <c r="A14" s="717" t="s">
        <v>30</v>
      </c>
      <c r="B14" s="37"/>
      <c r="C14" s="343"/>
      <c r="D14" s="345"/>
      <c r="E14" s="1083" t="s">
        <v>31</v>
      </c>
      <c r="F14" s="1684"/>
      <c r="G14" s="16"/>
      <c r="H14" s="700"/>
      <c r="I14" s="346"/>
      <c r="J14" s="801" t="s">
        <v>32</v>
      </c>
      <c r="Q14" s="344">
        <v>0</v>
      </c>
    </row>
    <row r="15" spans="1:17" s="2513" customFormat="1" ht="19.5" hidden="1" customHeight="1">
      <c r="A15" s="717" t="s">
        <v>33</v>
      </c>
      <c r="B15" s="37"/>
      <c r="C15" s="343"/>
      <c r="D15" s="345"/>
      <c r="E15" s="1083" t="s">
        <v>34</v>
      </c>
      <c r="F15" s="1684"/>
      <c r="G15" s="16"/>
      <c r="H15" s="700"/>
      <c r="I15" s="346"/>
      <c r="J15" s="801" t="s">
        <v>35</v>
      </c>
      <c r="Q15" s="344">
        <v>0</v>
      </c>
    </row>
    <row r="16" spans="1:17" s="2512" customFormat="1" ht="6.4" customHeight="1">
      <c r="A16" s="714"/>
      <c r="B16" s="168"/>
      <c r="C16" s="169"/>
      <c r="D16" s="175"/>
      <c r="E16" s="173"/>
      <c r="F16" s="176"/>
      <c r="G16" s="16"/>
      <c r="H16" s="344"/>
      <c r="I16" s="346"/>
      <c r="J16" s="799"/>
      <c r="Q16" s="172">
        <v>6</v>
      </c>
    </row>
    <row r="17" spans="1:17" ht="21" customHeight="1">
      <c r="D17" s="14"/>
      <c r="E17" s="326" t="s">
        <v>36</v>
      </c>
      <c r="F17" s="2002" t="s">
        <v>37</v>
      </c>
      <c r="G17" s="12"/>
      <c r="H17" s="703" t="s">
        <v>22</v>
      </c>
      <c r="Q17" s="13">
        <v>20</v>
      </c>
    </row>
    <row r="18" spans="1:17" ht="25.5" customHeight="1">
      <c r="D18" s="14"/>
      <c r="E18" s="1692" t="s">
        <v>38</v>
      </c>
      <c r="F18" s="2003">
        <v>45589</v>
      </c>
      <c r="G18" s="12"/>
      <c r="I18" s="704"/>
      <c r="J18" s="2611" t="s">
        <v>39</v>
      </c>
      <c r="Q18" s="13">
        <v>0</v>
      </c>
    </row>
    <row r="19" spans="1:17" ht="25.5"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03">
        <v>45658.634050925924</v>
      </c>
      <c r="G19" s="12"/>
      <c r="I19" s="704"/>
      <c r="J19" s="2611"/>
      <c r="Q19" s="13">
        <v>0</v>
      </c>
    </row>
    <row r="20" spans="1:17" ht="22.5"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40</v>
      </c>
      <c r="Q20" s="13">
        <v>0</v>
      </c>
    </row>
    <row r="21" spans="1:17" ht="19.5" customHeight="1">
      <c r="D21" s="14"/>
      <c r="E21" s="326" t="str">
        <f>"Дата "&amp;IF(TEMPLATE_GROUP="P","документа","подачи заявления")&amp;" об утверждении тарифов"</f>
        <v>Дата подачи заявления об утверждении тарифов</v>
      </c>
      <c r="F21" s="2001">
        <v>45409.636180555557</v>
      </c>
      <c r="G21" s="12"/>
      <c r="I21" s="705"/>
      <c r="Q21" s="13">
        <v>0</v>
      </c>
    </row>
    <row r="22" spans="1:17" ht="19.5" customHeight="1">
      <c r="D22" s="14"/>
      <c r="E22" s="326" t="str">
        <f>"Номер "&amp;IF(TEMPLATE_GROUP="P","документа","подачи заявления")&amp;" об утверждении тарифов"</f>
        <v>Номер подачи заявления об утверждении тарифов</v>
      </c>
      <c r="F22" s="152" t="s">
        <v>41</v>
      </c>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customHeight="1">
      <c r="D26" s="14"/>
      <c r="E26" s="326" t="str">
        <f>"Дата "&amp;IF(TEMPLATE_GROUP="P","принятия решения","подачи заявления")&amp;" об изменении тарифов"</f>
        <v>Дата подачи заявления об изменении тарифов</v>
      </c>
      <c r="F26" s="2003">
        <v>45583</v>
      </c>
      <c r="G26" s="12"/>
      <c r="Q26" s="13">
        <v>0</v>
      </c>
    </row>
    <row r="27" spans="1:17" ht="19.5" customHeight="1">
      <c r="D27" s="14"/>
      <c r="E27" s="1083" t="str">
        <f>"Номер "&amp;IF(TEMPLATE_GROUP="P","принятия решения","заявления")&amp;" об изменении тарифов"</f>
        <v>Номер заявления об изменении тарифов</v>
      </c>
      <c r="F27" s="2004" t="s">
        <v>2867</v>
      </c>
      <c r="G27" s="12"/>
      <c r="Q27" s="13">
        <v>0</v>
      </c>
    </row>
    <row r="28" spans="1:17" ht="24.75" hidden="1" customHeight="1">
      <c r="D28" s="14"/>
      <c r="E28" s="326" t="s">
        <v>45</v>
      </c>
      <c r="F28" s="154"/>
      <c r="G28" s="12"/>
      <c r="Q28" s="13">
        <v>0</v>
      </c>
    </row>
    <row r="29" spans="1:17" ht="19.5" hidden="1" customHeight="1">
      <c r="D29" s="14"/>
      <c r="E29" s="326" t="s">
        <v>43</v>
      </c>
      <c r="F29" s="154"/>
      <c r="G29" s="12"/>
      <c r="Q29" s="13">
        <v>0</v>
      </c>
    </row>
    <row r="30" spans="1:17" s="2512"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46</v>
      </c>
      <c r="G31" s="706"/>
      <c r="Q31" s="13">
        <v>20</v>
      </c>
    </row>
    <row r="32" spans="1:17" ht="21" hidden="1" customHeight="1">
      <c r="C32" s="17"/>
      <c r="D32" s="18"/>
      <c r="E32" s="327" t="s">
        <v>47</v>
      </c>
      <c r="F32" s="153"/>
      <c r="G32" s="706"/>
      <c r="Q32" s="13">
        <v>20</v>
      </c>
    </row>
    <row r="33" spans="1:17" ht="21" customHeight="1">
      <c r="C33" s="17"/>
      <c r="D33" s="18"/>
      <c r="E33" s="326" t="s">
        <v>48</v>
      </c>
      <c r="F33" s="153" t="s">
        <v>49</v>
      </c>
      <c r="G33" s="706"/>
      <c r="Q33" s="13">
        <v>20</v>
      </c>
    </row>
    <row r="34" spans="1:17" ht="21" customHeight="1">
      <c r="C34" s="17"/>
      <c r="D34" s="18"/>
      <c r="E34" s="326" t="s">
        <v>50</v>
      </c>
      <c r="F34" s="153" t="s">
        <v>51</v>
      </c>
      <c r="G34" s="706"/>
      <c r="H34" s="19"/>
      <c r="Q34" s="13">
        <v>20</v>
      </c>
    </row>
    <row r="35" spans="1:17" s="2512" customFormat="1" ht="11.45" customHeight="1">
      <c r="A35" s="714"/>
      <c r="B35" s="168"/>
      <c r="C35" s="169"/>
      <c r="D35" s="175"/>
      <c r="E35" s="173"/>
      <c r="F35" s="176"/>
      <c r="G35" s="16"/>
      <c r="H35" s="344"/>
      <c r="I35" s="346"/>
      <c r="J35" s="799"/>
      <c r="Q35" s="172">
        <v>11</v>
      </c>
    </row>
    <row r="36" spans="1:17" ht="19.5" customHeight="1">
      <c r="A36" s="804"/>
      <c r="D36" s="18"/>
      <c r="E36" s="326" t="s">
        <v>52</v>
      </c>
      <c r="F36" s="2005" t="s">
        <v>53</v>
      </c>
      <c r="G36" s="16"/>
      <c r="Q36" s="13">
        <v>0</v>
      </c>
    </row>
    <row r="37" spans="1:17" ht="21" customHeight="1">
      <c r="A37" s="804"/>
      <c r="D37" s="18"/>
      <c r="E37" s="326" t="s">
        <v>54</v>
      </c>
      <c r="F37" s="2005" t="s">
        <v>55</v>
      </c>
      <c r="G37" s="16"/>
      <c r="Q37" s="13">
        <v>20</v>
      </c>
    </row>
    <row r="38" spans="1:17" s="2512" customFormat="1" ht="6.4" customHeight="1">
      <c r="A38" s="714"/>
      <c r="B38" s="168"/>
      <c r="C38" s="169"/>
      <c r="D38" s="170"/>
      <c r="E38" s="171"/>
      <c r="F38" s="975"/>
      <c r="G38" s="12"/>
      <c r="H38" s="344"/>
      <c r="I38" s="346"/>
      <c r="J38" s="801"/>
      <c r="Q38" s="172">
        <v>6</v>
      </c>
    </row>
    <row r="39" spans="1:17" ht="36.75" customHeight="1">
      <c r="A39" s="714"/>
      <c r="D39" s="14"/>
      <c r="E39" s="326" t="s">
        <v>56</v>
      </c>
      <c r="F39" s="645" t="s">
        <v>19</v>
      </c>
      <c r="G39" s="12"/>
      <c r="H39" s="703" t="s">
        <v>22</v>
      </c>
      <c r="Q39" s="13">
        <v>35</v>
      </c>
    </row>
    <row r="40" spans="1:17" s="2512" customFormat="1" ht="6" hidden="1" customHeight="1">
      <c r="A40" s="713"/>
      <c r="B40" s="361"/>
      <c r="C40" s="362"/>
      <c r="D40" s="363"/>
      <c r="E40" s="364"/>
      <c r="F40" s="975"/>
      <c r="G40" s="12"/>
      <c r="H40" s="344"/>
      <c r="I40" s="346"/>
      <c r="J40" s="801"/>
      <c r="Q40" s="365">
        <v>6</v>
      </c>
    </row>
    <row r="41" spans="1:17" s="2513"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512" customFormat="1" ht="6" customHeight="1">
      <c r="A42" s="713"/>
      <c r="B42" s="361"/>
      <c r="C42" s="362"/>
      <c r="D42" s="363"/>
      <c r="E42" s="364"/>
      <c r="F42" s="975"/>
      <c r="G42" s="12"/>
      <c r="H42" s="344"/>
      <c r="I42" s="346"/>
      <c r="J42" s="799"/>
      <c r="Q42" s="365">
        <v>0</v>
      </c>
    </row>
    <row r="43" spans="1:17" s="2513" customFormat="1" ht="27" hidden="1" customHeight="1">
      <c r="A43" s="713"/>
      <c r="B43" s="348"/>
      <c r="C43" s="343"/>
      <c r="D43" s="345"/>
      <c r="E43" s="326" t="s">
        <v>57</v>
      </c>
      <c r="F43" s="645" t="s">
        <v>19</v>
      </c>
      <c r="G43" s="12"/>
      <c r="I43" s="346"/>
      <c r="J43" s="801"/>
      <c r="Q43" s="344">
        <v>0</v>
      </c>
    </row>
    <row r="44" spans="1:17" s="2513" customFormat="1" ht="27" hidden="1" customHeight="1">
      <c r="A44" s="713"/>
      <c r="B44" s="348"/>
      <c r="C44" s="343"/>
      <c r="D44" s="345"/>
      <c r="E44" s="1083" t="s">
        <v>58</v>
      </c>
      <c r="F44" s="1803"/>
      <c r="G44" s="12"/>
      <c r="I44" s="346"/>
      <c r="J44" s="801"/>
      <c r="Q44" s="344">
        <v>0</v>
      </c>
    </row>
    <row r="45" spans="1:17" s="2512" customFormat="1" ht="6" customHeight="1">
      <c r="A45" s="713"/>
      <c r="B45" s="361"/>
      <c r="C45" s="362"/>
      <c r="D45" s="363"/>
      <c r="E45" s="364"/>
      <c r="F45" s="975"/>
      <c r="G45" s="12"/>
      <c r="H45" s="344"/>
      <c r="I45" s="346"/>
      <c r="J45" s="801"/>
      <c r="Q45" s="365">
        <v>0</v>
      </c>
    </row>
    <row r="46" spans="1:17" s="2512" customFormat="1" ht="24.75" customHeight="1">
      <c r="A46" s="713"/>
      <c r="B46" s="361"/>
      <c r="C46" s="362"/>
      <c r="D46" s="363"/>
      <c r="E46" s="1083" t="s">
        <v>59</v>
      </c>
      <c r="F46" s="645" t="s">
        <v>19</v>
      </c>
      <c r="G46" s="12"/>
      <c r="H46" s="344"/>
      <c r="I46" s="346"/>
      <c r="J46" s="801"/>
      <c r="Q46" s="365">
        <v>0</v>
      </c>
    </row>
    <row r="47" spans="1:17" s="2513" customFormat="1" ht="24.75" customHeight="1">
      <c r="A47" s="713"/>
      <c r="B47" s="348"/>
      <c r="C47" s="343"/>
      <c r="D47" s="345"/>
      <c r="E47" s="1083" t="s">
        <v>60</v>
      </c>
      <c r="F47" s="645" t="s">
        <v>19</v>
      </c>
      <c r="G47" s="12"/>
      <c r="I47" s="346"/>
      <c r="J47" s="801"/>
      <c r="Q47" s="344">
        <v>0</v>
      </c>
    </row>
    <row r="48" spans="1:17" s="2512"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512" customFormat="1" ht="6" hidden="1" customHeight="1">
      <c r="A50" s="714"/>
      <c r="B50" s="361"/>
      <c r="C50" s="362"/>
      <c r="D50" s="175"/>
      <c r="E50" s="173"/>
      <c r="F50" s="176"/>
      <c r="G50" s="16"/>
      <c r="H50" s="344"/>
      <c r="I50" s="346"/>
      <c r="J50" s="801"/>
      <c r="Q50" s="365">
        <v>0</v>
      </c>
    </row>
    <row r="51" spans="1:17" s="2513" customFormat="1" ht="28.5" hidden="1" customHeight="1">
      <c r="A51" s="715"/>
      <c r="B51" s="348"/>
      <c r="C51" s="465"/>
      <c r="D51" s="466"/>
      <c r="E51" s="326" t="s">
        <v>61</v>
      </c>
      <c r="F51" s="645" t="s">
        <v>19</v>
      </c>
      <c r="G51" s="467"/>
      <c r="I51" s="469"/>
      <c r="J51" s="803"/>
      <c r="P51" s="470"/>
      <c r="Q51" s="468">
        <v>0</v>
      </c>
    </row>
    <row r="52" spans="1:17" s="2512" customFormat="1" ht="6" hidden="1" customHeight="1">
      <c r="A52" s="714"/>
      <c r="B52" s="361"/>
      <c r="C52" s="362"/>
      <c r="D52" s="175"/>
      <c r="E52" s="173"/>
      <c r="F52" s="176"/>
      <c r="G52" s="16"/>
      <c r="H52" s="344"/>
      <c r="I52" s="346"/>
      <c r="J52" s="799"/>
      <c r="Q52" s="365">
        <v>0</v>
      </c>
    </row>
    <row r="53" spans="1:17" s="2513" customFormat="1" ht="27" hidden="1" customHeight="1">
      <c r="A53" s="715"/>
      <c r="B53" s="348"/>
      <c r="C53" s="465"/>
      <c r="D53" s="466"/>
      <c r="E53" s="326" t="s">
        <v>62</v>
      </c>
      <c r="F53" s="970" t="s">
        <v>19</v>
      </c>
      <c r="G53" s="467"/>
      <c r="I53" s="469"/>
      <c r="J53" s="803"/>
      <c r="P53" s="470"/>
      <c r="Q53" s="468">
        <v>0</v>
      </c>
    </row>
    <row r="54" spans="1:17" s="2513" customFormat="1" ht="27" hidden="1" customHeight="1">
      <c r="A54" s="715"/>
      <c r="B54" s="348"/>
      <c r="C54" s="465"/>
      <c r="D54" s="466"/>
      <c r="E54" s="326" t="s">
        <v>63</v>
      </c>
      <c r="F54" s="1691"/>
      <c r="G54" s="467"/>
      <c r="I54" s="469"/>
      <c r="J54" s="803"/>
      <c r="P54" s="470"/>
      <c r="Q54" s="468">
        <v>0</v>
      </c>
    </row>
    <row r="55" spans="1:17" s="2512" customFormat="1" ht="6" hidden="1" customHeight="1">
      <c r="A55" s="714"/>
      <c r="B55" s="361"/>
      <c r="C55" s="362"/>
      <c r="D55" s="175"/>
      <c r="E55" s="173"/>
      <c r="F55" s="176"/>
      <c r="G55" s="16"/>
      <c r="H55" s="344"/>
      <c r="I55" s="346"/>
      <c r="J55" s="799"/>
      <c r="Q55" s="365">
        <v>0</v>
      </c>
    </row>
    <row r="56" spans="1:17" s="2513" customFormat="1" ht="25.5" hidden="1" customHeight="1">
      <c r="A56" s="715"/>
      <c r="B56" s="348"/>
      <c r="C56" s="465"/>
      <c r="D56" s="466"/>
      <c r="E56" s="326" t="s">
        <v>64</v>
      </c>
      <c r="F56" s="970" t="s">
        <v>19</v>
      </c>
      <c r="G56" s="467"/>
      <c r="I56" s="469"/>
      <c r="J56" s="803"/>
      <c r="P56" s="470"/>
      <c r="Q56" s="468">
        <v>0</v>
      </c>
    </row>
    <row r="57" spans="1:17" s="2512" customFormat="1" ht="6" hidden="1" customHeight="1">
      <c r="A57" s="714"/>
      <c r="B57" s="361"/>
      <c r="C57" s="362"/>
      <c r="D57" s="175"/>
      <c r="E57" s="173"/>
      <c r="F57" s="176"/>
      <c r="G57" s="16"/>
      <c r="H57" s="344"/>
      <c r="I57" s="346"/>
      <c r="J57" s="799"/>
      <c r="Q57" s="365">
        <v>0</v>
      </c>
    </row>
    <row r="58" spans="1:17" s="2513" customFormat="1" ht="15" hidden="1" customHeight="1">
      <c r="A58" s="715"/>
      <c r="B58" s="348"/>
      <c r="C58" s="465"/>
      <c r="D58" s="466"/>
      <c r="E58" s="326" t="s">
        <v>65</v>
      </c>
      <c r="F58" s="970" t="s">
        <v>66</v>
      </c>
      <c r="G58" s="467"/>
      <c r="I58" s="469"/>
      <c r="J58" s="803"/>
      <c r="P58" s="470"/>
      <c r="Q58" s="468">
        <v>0</v>
      </c>
    </row>
    <row r="59" spans="1:17" s="2513"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513" customFormat="1" ht="15" hidden="1" customHeight="1">
      <c r="A60" s="715"/>
      <c r="B60" s="348"/>
      <c r="C60" s="465"/>
      <c r="D60" s="466"/>
      <c r="E60" s="1083" t="s">
        <v>67</v>
      </c>
      <c r="F60" s="1069"/>
      <c r="G60" s="467"/>
      <c r="I60" s="469"/>
      <c r="J60" s="803"/>
      <c r="P60" s="470"/>
      <c r="Q60" s="468">
        <v>0</v>
      </c>
    </row>
    <row r="61" spans="1:17" s="2512" customFormat="1" ht="6" hidden="1" customHeight="1">
      <c r="A61" s="714"/>
      <c r="B61" s="361"/>
      <c r="C61" s="362"/>
      <c r="D61" s="363"/>
      <c r="E61" s="364"/>
      <c r="F61" s="975"/>
      <c r="G61" s="12"/>
      <c r="H61" s="344"/>
      <c r="I61" s="346"/>
      <c r="J61" s="801"/>
      <c r="Q61" s="365">
        <v>0</v>
      </c>
    </row>
    <row r="62" spans="1:17" s="2513" customFormat="1" ht="33.75" hidden="1" customHeight="1">
      <c r="A62" s="714"/>
      <c r="B62" s="37"/>
      <c r="C62" s="343"/>
      <c r="D62" s="345"/>
      <c r="E62" s="1083" t="s">
        <v>68</v>
      </c>
      <c r="F62" s="1589" t="s">
        <v>66</v>
      </c>
      <c r="G62" s="12"/>
      <c r="H62" s="703" t="s">
        <v>22</v>
      </c>
      <c r="I62" s="346"/>
      <c r="J62" s="801"/>
      <c r="Q62" s="344">
        <v>0</v>
      </c>
    </row>
    <row r="63" spans="1:17" s="2512" customFormat="1" ht="6.4" customHeight="1">
      <c r="A63" s="714"/>
      <c r="B63" s="168"/>
      <c r="C63" s="169"/>
      <c r="D63" s="175"/>
      <c r="E63" s="173"/>
      <c r="F63" s="176"/>
      <c r="G63" s="16"/>
      <c r="H63" s="344"/>
      <c r="I63" s="346"/>
      <c r="J63" s="799"/>
      <c r="Q63" s="172">
        <v>6</v>
      </c>
    </row>
    <row r="64" spans="1:17" ht="21" customHeight="1">
      <c r="A64" s="716"/>
      <c r="B64" s="38"/>
      <c r="D64" s="21"/>
      <c r="E64" s="326" t="s">
        <v>69</v>
      </c>
      <c r="F64" s="152" t="s">
        <v>70</v>
      </c>
      <c r="G64" s="16"/>
      <c r="Q64" s="13">
        <v>20</v>
      </c>
    </row>
    <row r="65" spans="1:17" ht="21" customHeight="1">
      <c r="A65" s="716"/>
      <c r="B65" s="38"/>
      <c r="D65" s="21"/>
      <c r="E65" s="326" t="s">
        <v>71</v>
      </c>
      <c r="F65" s="152" t="s">
        <v>72</v>
      </c>
      <c r="G65" s="16"/>
      <c r="Q65" s="13">
        <v>20</v>
      </c>
    </row>
    <row r="66" spans="1:17" ht="36.75" customHeight="1">
      <c r="D66" s="14"/>
      <c r="E66" s="328" t="s">
        <v>73</v>
      </c>
      <c r="F66" s="976"/>
      <c r="G66" s="12"/>
      <c r="Q66" s="13">
        <v>35</v>
      </c>
    </row>
    <row r="67" spans="1:17" ht="21" customHeight="1">
      <c r="A67" s="716"/>
      <c r="D67" s="345"/>
      <c r="E67" s="326" t="s">
        <v>74</v>
      </c>
      <c r="F67" s="207" t="s">
        <v>72</v>
      </c>
      <c r="G67" s="16"/>
      <c r="Q67" s="13">
        <v>20</v>
      </c>
    </row>
    <row r="68" spans="1:17" ht="21" customHeight="1">
      <c r="A68" s="716"/>
      <c r="B68" s="38"/>
      <c r="D68" s="21"/>
      <c r="E68" s="326" t="s">
        <v>75</v>
      </c>
      <c r="F68" s="207" t="s">
        <v>76</v>
      </c>
      <c r="G68" s="16"/>
      <c r="Q68" s="13">
        <v>20</v>
      </c>
    </row>
    <row r="69" spans="1:17" ht="21" customHeight="1">
      <c r="A69" s="716"/>
      <c r="B69" s="38"/>
      <c r="D69" s="21"/>
      <c r="E69" s="326" t="s">
        <v>77</v>
      </c>
      <c r="F69" s="207" t="s">
        <v>78</v>
      </c>
      <c r="G69" s="16"/>
      <c r="Q69" s="13">
        <v>20</v>
      </c>
    </row>
    <row r="70" spans="1:17" ht="21" customHeight="1">
      <c r="D70" s="345"/>
      <c r="E70" s="326" t="s">
        <v>79</v>
      </c>
      <c r="F70" s="2006" t="s">
        <v>80</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81</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519" hidden="1"/>
    <col min="2" max="2" width="11" style="2519" hidden="1" customWidth="1"/>
    <col min="3" max="3" width="10.5703125" style="2519" hidden="1"/>
    <col min="4" max="4" width="11.85546875" style="2519" hidden="1" customWidth="1"/>
    <col min="5" max="5" width="10" style="2519" hidden="1" customWidth="1"/>
    <col min="6" max="6" width="8.7109375" style="2519" hidden="1" customWidth="1"/>
    <col min="7" max="7" width="7.5703125" style="2519" hidden="1" customWidth="1"/>
    <col min="8" max="8" width="11.42578125" style="2519" hidden="1" customWidth="1"/>
    <col min="9" max="9" width="12" style="2519" hidden="1" customWidth="1"/>
    <col min="10" max="10" width="9.85546875" style="2519" hidden="1" customWidth="1"/>
    <col min="11" max="11" width="11.42578125" style="2519" hidden="1" customWidth="1"/>
    <col min="12" max="12" width="19.140625" style="2545" hidden="1" customWidth="1"/>
    <col min="13" max="14" width="12.28515625" style="2546" hidden="1" customWidth="1"/>
    <col min="15" max="15" width="23.42578125" style="2546" hidden="1" customWidth="1"/>
    <col min="16" max="16" width="3" style="2546" customWidth="1"/>
    <col min="17" max="17" width="3" style="2552" customWidth="1"/>
    <col min="18" max="18" width="3" style="2548" customWidth="1"/>
    <col min="19" max="19" width="12" style="2549" customWidth="1"/>
    <col min="20" max="20" width="31" style="2513" customWidth="1"/>
    <col min="21" max="21" width="0.140625" style="2513" customWidth="1"/>
    <col min="22" max="23" width="21.7109375" style="2513" hidden="1" customWidth="1"/>
    <col min="24" max="24" width="11.7109375" style="2513" hidden="1" customWidth="1"/>
    <col min="25" max="25" width="3.7109375" style="2513" hidden="1" customWidth="1"/>
    <col min="26" max="26" width="11.7109375" style="2513" hidden="1" customWidth="1"/>
    <col min="27" max="27" width="8.5703125" style="2513" hidden="1" customWidth="1"/>
    <col min="28" max="28" width="5.42578125" style="2513" customWidth="1"/>
    <col min="29" max="30" width="3" style="2513" customWidth="1"/>
    <col min="31" max="31" width="24" style="2513" customWidth="1"/>
    <col min="32" max="32" width="3.7109375" style="2513" customWidth="1"/>
    <col min="33" max="34" width="3" style="2513" customWidth="1"/>
    <col min="35" max="35" width="24" style="2513" customWidth="1"/>
    <col min="36" max="36" width="3.7109375" style="2513" customWidth="1"/>
    <col min="37" max="38" width="3" style="2513" customWidth="1"/>
    <col min="39" max="39" width="18" style="2513" customWidth="1"/>
    <col min="40" max="41" width="21" style="2513" customWidth="1"/>
    <col min="42" max="42" width="11" style="2513" customWidth="1"/>
    <col min="43" max="43" width="3.7109375" style="2513" customWidth="1"/>
    <col min="44" max="44" width="11" style="2513" customWidth="1"/>
    <col min="45" max="45" width="8.5703125" style="2513" hidden="1" customWidth="1"/>
    <col min="46" max="46" width="4" style="2513" customWidth="1"/>
    <col min="47" max="47" width="115" style="2513" customWidth="1"/>
    <col min="48" max="52" width="10" style="2520" customWidth="1"/>
    <col min="53" max="53" width="10.5703125" style="2513" hidden="1"/>
  </cols>
  <sheetData>
    <row r="1" spans="1:53" ht="22.5" hidden="1" customHeight="1">
      <c r="W1" s="263"/>
      <c r="X1" s="263"/>
      <c r="AO1" s="263"/>
      <c r="AP1" s="263"/>
      <c r="BA1" s="1073" t="s">
        <v>14</v>
      </c>
    </row>
    <row r="2" spans="1:53" ht="21" hidden="1" customHeight="1">
      <c r="A2" s="1281"/>
      <c r="B2" s="1281"/>
      <c r="C2" s="1281"/>
      <c r="D2" s="1281"/>
      <c r="E2" s="2778">
        <v>1</v>
      </c>
      <c r="F2" s="1281"/>
      <c r="G2" s="1281"/>
      <c r="H2" s="1281"/>
      <c r="I2" s="1281"/>
      <c r="J2" s="1281"/>
      <c r="K2" s="1281"/>
      <c r="L2" s="1282"/>
      <c r="M2" s="1283"/>
      <c r="N2" s="1283"/>
      <c r="O2" s="1283"/>
      <c r="P2" s="1327"/>
      <c r="Q2" s="798"/>
      <c r="R2" s="290"/>
      <c r="S2" s="1254" t="e">
        <f>INDEX(PT_DIFFERENTIATION_NUM_NTAR,MATCH(A2,PT_DIFFERENTIATION_NTAR_ID,0))</f>
        <v>#N/A</v>
      </c>
      <c r="T2" s="234" t="s">
        <v>122</v>
      </c>
      <c r="U2" s="236"/>
      <c r="V2" s="2767"/>
      <c r="W2" s="2767"/>
      <c r="X2" s="2767"/>
      <c r="Y2" s="2767"/>
      <c r="Z2" s="2767"/>
      <c r="AA2" s="2768"/>
      <c r="AB2" s="2766" t="e">
        <f>INDEX(PT_DIFFERENTIATION_NTAR,MATCH(A2,PT_DIFFERENTIATION_NTAR_ID,0))</f>
        <v>#N/A</v>
      </c>
      <c r="AC2" s="2767"/>
      <c r="AD2" s="2767"/>
      <c r="AE2" s="2767"/>
      <c r="AF2" s="2767"/>
      <c r="AG2" s="2767"/>
      <c r="AH2" s="2767"/>
      <c r="AI2" s="2767"/>
      <c r="AJ2" s="2767"/>
      <c r="AK2" s="2767"/>
      <c r="AL2" s="2767"/>
      <c r="AM2" s="2767"/>
      <c r="AN2" s="2767"/>
      <c r="AO2" s="2767"/>
      <c r="AP2" s="2767"/>
      <c r="AQ2" s="2767"/>
      <c r="AR2" s="2767"/>
      <c r="AS2" s="2767"/>
      <c r="AT2" s="2768"/>
      <c r="AU2" s="1176" t="s">
        <v>398</v>
      </c>
      <c r="AW2" s="435"/>
      <c r="AX2" s="435" t="str">
        <f t="shared" ref="AX2:AX8" si="0">IF(T2="","",T2)</f>
        <v>Наименование тарифа</v>
      </c>
      <c r="AY2" s="435"/>
      <c r="AZ2" s="435"/>
      <c r="BA2" s="1073">
        <v>0</v>
      </c>
    </row>
    <row r="3" spans="1:53" ht="21" hidden="1" customHeight="1">
      <c r="A3" s="1281"/>
      <c r="B3" s="1281"/>
      <c r="C3" s="1281"/>
      <c r="D3" s="1281"/>
      <c r="E3" s="2779"/>
      <c r="F3" s="2778">
        <v>1</v>
      </c>
      <c r="G3" s="1281"/>
      <c r="H3" s="1281"/>
      <c r="I3" s="1281"/>
      <c r="J3" s="1281"/>
      <c r="K3" s="1281"/>
      <c r="L3" s="1282"/>
      <c r="M3" s="1283"/>
      <c r="N3" s="1283"/>
      <c r="O3" s="1283"/>
      <c r="P3" s="1328"/>
      <c r="Q3" s="1329"/>
      <c r="R3" s="288"/>
      <c r="S3" s="1254" t="e">
        <f>INDEX(PT_DIFFERENTIATION_NUM_TER,MATCH(B3,PT_DIFFERENTIATION_TER_ID,0))</f>
        <v>#N/A</v>
      </c>
      <c r="T3" s="244" t="s">
        <v>399</v>
      </c>
      <c r="U3" s="236"/>
      <c r="V3" s="2767"/>
      <c r="W3" s="2767"/>
      <c r="X3" s="2767"/>
      <c r="Y3" s="2767"/>
      <c r="Z3" s="2767"/>
      <c r="AA3" s="2768"/>
      <c r="AB3" s="2766" t="e">
        <f>INDEX(PT_DIFFERENTIATION_TER,MATCH(B3,PT_DIFFERENTIATION_TER_ID,0))</f>
        <v>#N/A</v>
      </c>
      <c r="AC3" s="2767"/>
      <c r="AD3" s="2767"/>
      <c r="AE3" s="2767"/>
      <c r="AF3" s="2767"/>
      <c r="AG3" s="2767"/>
      <c r="AH3" s="2767"/>
      <c r="AI3" s="2767"/>
      <c r="AJ3" s="2767"/>
      <c r="AK3" s="2767"/>
      <c r="AL3" s="2767"/>
      <c r="AM3" s="2767"/>
      <c r="AN3" s="2767"/>
      <c r="AO3" s="2767"/>
      <c r="AP3" s="2767"/>
      <c r="AQ3" s="2767"/>
      <c r="AR3" s="2767"/>
      <c r="AS3" s="2767"/>
      <c r="AT3" s="2768"/>
      <c r="AU3" s="1176" t="s">
        <v>400</v>
      </c>
      <c r="AW3" s="435"/>
      <c r="AX3" s="435" t="str">
        <f t="shared" si="0"/>
        <v>Территория действия тарифа</v>
      </c>
      <c r="AY3" s="435"/>
      <c r="AZ3" s="435"/>
      <c r="BA3" s="1073">
        <v>0</v>
      </c>
    </row>
    <row r="4" spans="1:53" ht="22.5" hidden="1" customHeight="1">
      <c r="A4" s="1281"/>
      <c r="B4" s="1281"/>
      <c r="C4" s="1281"/>
      <c r="D4" s="1281"/>
      <c r="E4" s="2779"/>
      <c r="F4" s="2779"/>
      <c r="G4" s="2778">
        <v>1</v>
      </c>
      <c r="H4" s="1281"/>
      <c r="I4" s="1281"/>
      <c r="J4" s="1281"/>
      <c r="K4" s="1281"/>
      <c r="L4" s="1282"/>
      <c r="M4" s="1283"/>
      <c r="N4" s="1283"/>
      <c r="O4" s="1283"/>
      <c r="P4" s="1330"/>
      <c r="Q4" s="1329"/>
      <c r="R4" s="288"/>
      <c r="S4" s="1254" t="e">
        <f>INDEX(PT_DIFFERENTIATION_NUM_CS,MATCH(C4,PT_DIFFERENTIATION_CS_ID,0))</f>
        <v>#N/A</v>
      </c>
      <c r="T4" s="245" t="s">
        <v>401</v>
      </c>
      <c r="U4" s="236"/>
      <c r="V4" s="2767"/>
      <c r="W4" s="2767"/>
      <c r="X4" s="2767"/>
      <c r="Y4" s="2767"/>
      <c r="Z4" s="2767"/>
      <c r="AA4" s="2768"/>
      <c r="AB4" s="2766" t="e">
        <f>INDEX(PT_DIFFERENTIATION_CS,MATCH(C4,PT_DIFFERENTIATION_CS_ID,0))</f>
        <v>#N/A</v>
      </c>
      <c r="AC4" s="2767"/>
      <c r="AD4" s="2767"/>
      <c r="AE4" s="2767"/>
      <c r="AF4" s="2767"/>
      <c r="AG4" s="2767"/>
      <c r="AH4" s="2767"/>
      <c r="AI4" s="2767"/>
      <c r="AJ4" s="2767"/>
      <c r="AK4" s="2767"/>
      <c r="AL4" s="2767"/>
      <c r="AM4" s="2767"/>
      <c r="AN4" s="2767"/>
      <c r="AO4" s="2767"/>
      <c r="AP4" s="2767"/>
      <c r="AQ4" s="2767"/>
      <c r="AR4" s="2767"/>
      <c r="AS4" s="2767"/>
      <c r="AT4" s="2768"/>
      <c r="AU4" s="1176" t="s">
        <v>402</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779"/>
      <c r="F5" s="2779"/>
      <c r="G5" s="2779"/>
      <c r="H5" s="2778">
        <v>1</v>
      </c>
      <c r="I5" s="1281"/>
      <c r="J5" s="1281"/>
      <c r="K5" s="1281"/>
      <c r="L5" s="1282"/>
      <c r="M5" s="1283"/>
      <c r="N5" s="1283"/>
      <c r="O5" s="1283"/>
      <c r="P5" s="1330"/>
      <c r="Q5" s="1329"/>
      <c r="R5" s="288"/>
      <c r="S5" s="1254" t="e">
        <f>INDEX(PT_DIFFERENTIATION_NUM_IST_TE,MATCH(D5,PT_DIFFERENTIATION_IST_TE_ID,0))</f>
        <v>#N/A</v>
      </c>
      <c r="T5" s="246" t="s">
        <v>403</v>
      </c>
      <c r="U5" s="236"/>
      <c r="V5" s="2767"/>
      <c r="W5" s="2767"/>
      <c r="X5" s="2767"/>
      <c r="Y5" s="2767"/>
      <c r="Z5" s="2767"/>
      <c r="AA5" s="2768"/>
      <c r="AB5" s="2766" t="e">
        <f>INDEX(PT_DIFFERENTIATION_IST_TE,MATCH(D5,PT_DIFFERENTIATION_IST_TE_ID,0))</f>
        <v>#N/A</v>
      </c>
      <c r="AC5" s="2767"/>
      <c r="AD5" s="2767"/>
      <c r="AE5" s="2767"/>
      <c r="AF5" s="2767"/>
      <c r="AG5" s="2767"/>
      <c r="AH5" s="2767"/>
      <c r="AI5" s="2767"/>
      <c r="AJ5" s="2767"/>
      <c r="AK5" s="2767"/>
      <c r="AL5" s="2767"/>
      <c r="AM5" s="2767"/>
      <c r="AN5" s="2767"/>
      <c r="AO5" s="2767"/>
      <c r="AP5" s="2767"/>
      <c r="AQ5" s="2767"/>
      <c r="AR5" s="2767"/>
      <c r="AS5" s="2767"/>
      <c r="AT5" s="2768"/>
      <c r="AU5" s="1176" t="s">
        <v>404</v>
      </c>
      <c r="AW5" s="435"/>
      <c r="AX5" s="435" t="str">
        <f t="shared" si="0"/>
        <v xml:space="preserve">Источник тепловой энергии  </v>
      </c>
      <c r="AY5" s="435"/>
      <c r="AZ5" s="435"/>
      <c r="BA5" s="1073">
        <v>0</v>
      </c>
    </row>
    <row r="6" spans="1:53" s="2520" customFormat="1" ht="0.75" hidden="1" customHeight="1">
      <c r="A6" s="1261"/>
      <c r="B6" s="1261"/>
      <c r="C6" s="1261"/>
      <c r="D6" s="1261"/>
      <c r="E6" s="2779"/>
      <c r="F6" s="2779"/>
      <c r="G6" s="2779"/>
      <c r="H6" s="2779"/>
      <c r="I6" s="2776" t="e">
        <f>S5&amp;".1"</f>
        <v>#N/A</v>
      </c>
      <c r="J6" s="1261"/>
      <c r="K6" s="1261"/>
      <c r="L6" s="1264" t="s">
        <v>405</v>
      </c>
      <c r="M6" s="445"/>
      <c r="N6" s="445"/>
      <c r="O6" s="445"/>
      <c r="P6" s="2777">
        <v>1</v>
      </c>
      <c r="Q6" s="1249"/>
      <c r="R6" s="291"/>
      <c r="S6" s="964"/>
      <c r="T6" s="1301"/>
      <c r="U6" s="1302"/>
      <c r="V6" s="2796"/>
      <c r="W6" s="2796"/>
      <c r="X6" s="2796"/>
      <c r="Y6" s="2796"/>
      <c r="Z6" s="2796"/>
      <c r="AA6" s="2797"/>
      <c r="AB6" s="2795"/>
      <c r="AC6" s="2796"/>
      <c r="AD6" s="2796"/>
      <c r="AE6" s="2796"/>
      <c r="AF6" s="2796"/>
      <c r="AG6" s="2796"/>
      <c r="AH6" s="2796"/>
      <c r="AI6" s="2796"/>
      <c r="AJ6" s="2796"/>
      <c r="AK6" s="2796"/>
      <c r="AL6" s="2796"/>
      <c r="AM6" s="2796"/>
      <c r="AN6" s="2796"/>
      <c r="AO6" s="2796"/>
      <c r="AP6" s="2796"/>
      <c r="AQ6" s="2796"/>
      <c r="AR6" s="2796"/>
      <c r="AS6" s="2796"/>
      <c r="AT6" s="2797"/>
      <c r="AU6" s="1303"/>
      <c r="AW6" s="435"/>
      <c r="AX6" s="435" t="str">
        <f t="shared" si="0"/>
        <v/>
      </c>
      <c r="AY6" s="435"/>
      <c r="AZ6" s="435"/>
      <c r="BA6" s="446">
        <v>0</v>
      </c>
    </row>
    <row r="7" spans="1:53" s="2520" customFormat="1" ht="0.75" hidden="1" customHeight="1">
      <c r="A7" s="1261"/>
      <c r="B7" s="1261"/>
      <c r="C7" s="1261"/>
      <c r="D7" s="1261"/>
      <c r="E7" s="2779"/>
      <c r="F7" s="2779"/>
      <c r="G7" s="2779"/>
      <c r="H7" s="2779"/>
      <c r="I7" s="2787"/>
      <c r="J7" s="2776" t="e">
        <f>S5&amp;".1"</f>
        <v>#N/A</v>
      </c>
      <c r="K7" s="1261"/>
      <c r="L7" s="1264"/>
      <c r="M7" s="445"/>
      <c r="N7" s="445"/>
      <c r="O7" s="445"/>
      <c r="P7" s="2777"/>
      <c r="Q7" s="2777">
        <v>1</v>
      </c>
      <c r="R7" s="292"/>
      <c r="S7" s="964"/>
      <c r="T7" s="1317"/>
      <c r="U7" s="1302"/>
      <c r="V7" s="2796"/>
      <c r="W7" s="2796"/>
      <c r="X7" s="2796"/>
      <c r="Y7" s="2796"/>
      <c r="Z7" s="2796"/>
      <c r="AA7" s="2797"/>
      <c r="AB7" s="2795"/>
      <c r="AC7" s="2796"/>
      <c r="AD7" s="2796"/>
      <c r="AE7" s="2796"/>
      <c r="AF7" s="2796"/>
      <c r="AG7" s="2796"/>
      <c r="AH7" s="2796"/>
      <c r="AI7" s="2796"/>
      <c r="AJ7" s="2796"/>
      <c r="AK7" s="2796"/>
      <c r="AL7" s="2796"/>
      <c r="AM7" s="2796"/>
      <c r="AN7" s="2796"/>
      <c r="AO7" s="2796"/>
      <c r="AP7" s="2796"/>
      <c r="AQ7" s="2796"/>
      <c r="AR7" s="2796"/>
      <c r="AS7" s="2796"/>
      <c r="AT7" s="2797"/>
      <c r="AU7" s="1303"/>
      <c r="AW7" s="435"/>
      <c r="AX7" s="435" t="str">
        <f t="shared" si="0"/>
        <v/>
      </c>
      <c r="AY7" s="435"/>
      <c r="AZ7" s="435"/>
      <c r="BA7" s="446">
        <v>0</v>
      </c>
    </row>
    <row r="8" spans="1:53" ht="21" hidden="1" customHeight="1">
      <c r="A8" s="1281"/>
      <c r="B8" s="1281"/>
      <c r="C8" s="1281"/>
      <c r="D8" s="1281"/>
      <c r="E8" s="2779"/>
      <c r="F8" s="2779"/>
      <c r="G8" s="2779"/>
      <c r="H8" s="2779"/>
      <c r="I8" s="2787"/>
      <c r="J8" s="2787"/>
      <c r="K8" s="2776" t="e">
        <f>S5&amp;".1"</f>
        <v>#N/A</v>
      </c>
      <c r="L8" s="1282"/>
      <c r="P8" s="2777"/>
      <c r="Q8" s="2777"/>
      <c r="R8" s="2830">
        <v>1</v>
      </c>
      <c r="S8" s="2824" t="e">
        <f>$K8</f>
        <v>#N/A</v>
      </c>
      <c r="T8" s="2827"/>
      <c r="U8" s="236"/>
      <c r="V8" s="686"/>
      <c r="W8" s="1175"/>
      <c r="X8" s="2753"/>
      <c r="Y8" s="2619" t="s">
        <v>66</v>
      </c>
      <c r="Z8" s="2753"/>
      <c r="AA8" s="2619" t="s">
        <v>66</v>
      </c>
      <c r="AB8" s="2619" t="s">
        <v>19</v>
      </c>
      <c r="AC8" s="2809"/>
      <c r="AD8" s="2720">
        <v>1</v>
      </c>
      <c r="AE8" s="2810"/>
      <c r="AF8" s="2619" t="s">
        <v>19</v>
      </c>
      <c r="AG8" s="2809"/>
      <c r="AH8" s="2720">
        <v>1</v>
      </c>
      <c r="AI8" s="2810"/>
      <c r="AJ8" s="2619" t="s">
        <v>19</v>
      </c>
      <c r="AK8" s="247"/>
      <c r="AL8" s="1255">
        <v>1</v>
      </c>
      <c r="AM8" s="1316"/>
      <c r="AN8" s="686"/>
      <c r="AO8" s="1175"/>
      <c r="AP8" s="1651"/>
      <c r="AQ8" s="1377" t="s">
        <v>66</v>
      </c>
      <c r="AR8" s="1651"/>
      <c r="AS8" s="1377" t="s">
        <v>66</v>
      </c>
      <c r="AT8" s="1266"/>
      <c r="AU8" s="2773" t="s">
        <v>466</v>
      </c>
      <c r="AV8" s="446" t="e">
        <f ca="1">STRCHECKDATE(V11:AT11)</f>
        <v>#NAME?</v>
      </c>
      <c r="AW8" s="435"/>
      <c r="AX8" s="435" t="str">
        <f t="shared" si="0"/>
        <v/>
      </c>
      <c r="AY8" s="435"/>
      <c r="AZ8" s="435"/>
      <c r="BA8" s="1073">
        <v>0</v>
      </c>
    </row>
    <row r="9" spans="1:53" ht="11.25" hidden="1" customHeight="1">
      <c r="A9" s="1281"/>
      <c r="B9" s="1281"/>
      <c r="C9" s="1281"/>
      <c r="D9" s="1281"/>
      <c r="E9" s="2779"/>
      <c r="F9" s="2779"/>
      <c r="G9" s="2779"/>
      <c r="H9" s="2779"/>
      <c r="I9" s="2787"/>
      <c r="J9" s="2787"/>
      <c r="K9" s="2776"/>
      <c r="L9" s="1282"/>
      <c r="P9" s="2777"/>
      <c r="Q9" s="2777"/>
      <c r="R9" s="2830"/>
      <c r="S9" s="2825"/>
      <c r="T9" s="2828"/>
      <c r="U9" s="236"/>
      <c r="V9" s="1311"/>
      <c r="W9" s="1315"/>
      <c r="X9" s="2753"/>
      <c r="Y9" s="2619"/>
      <c r="Z9" s="2753"/>
      <c r="AA9" s="2619"/>
      <c r="AB9" s="2619"/>
      <c r="AC9" s="2809"/>
      <c r="AD9" s="2720"/>
      <c r="AE9" s="2810"/>
      <c r="AF9" s="2619"/>
      <c r="AG9" s="2809"/>
      <c r="AH9" s="2720"/>
      <c r="AI9" s="2810"/>
      <c r="AJ9" s="2619"/>
      <c r="AK9" s="252"/>
      <c r="AL9" s="351"/>
      <c r="AM9" s="350" t="s">
        <v>467</v>
      </c>
      <c r="AN9" s="1311"/>
      <c r="AO9" s="1414"/>
      <c r="AP9" s="1311"/>
      <c r="AQ9" s="1311"/>
      <c r="AR9" s="1311"/>
      <c r="AS9" s="1311"/>
      <c r="AT9" s="1308"/>
      <c r="AU9" s="2774"/>
      <c r="AW9" s="435"/>
      <c r="AX9" s="435"/>
      <c r="AY9" s="435"/>
      <c r="AZ9" s="435"/>
      <c r="BA9" s="1073">
        <v>0</v>
      </c>
    </row>
    <row r="10" spans="1:53" ht="11.25" hidden="1" customHeight="1">
      <c r="A10" s="1281"/>
      <c r="B10" s="1281"/>
      <c r="C10" s="1281"/>
      <c r="D10" s="1281"/>
      <c r="E10" s="2779"/>
      <c r="F10" s="2779"/>
      <c r="G10" s="2779"/>
      <c r="H10" s="2779"/>
      <c r="I10" s="2787"/>
      <c r="J10" s="2787"/>
      <c r="K10" s="2776"/>
      <c r="L10" s="1282"/>
      <c r="P10" s="2777"/>
      <c r="Q10" s="2777"/>
      <c r="R10" s="2830"/>
      <c r="S10" s="2825"/>
      <c r="T10" s="2828"/>
      <c r="U10" s="236"/>
      <c r="V10" s="1311"/>
      <c r="W10" s="1315"/>
      <c r="X10" s="2753"/>
      <c r="Y10" s="2619"/>
      <c r="Z10" s="2753"/>
      <c r="AA10" s="2619"/>
      <c r="AB10" s="2619"/>
      <c r="AC10" s="2809"/>
      <c r="AD10" s="2720"/>
      <c r="AE10" s="2810"/>
      <c r="AF10" s="2619"/>
      <c r="AG10" s="230"/>
      <c r="AH10" s="350"/>
      <c r="AI10" s="350" t="s">
        <v>468</v>
      </c>
      <c r="AJ10" s="1311"/>
      <c r="AK10" s="1311"/>
      <c r="AL10" s="1311"/>
      <c r="AM10" s="1311"/>
      <c r="AN10" s="1311"/>
      <c r="AO10" s="1414"/>
      <c r="AP10" s="1311"/>
      <c r="AQ10" s="1311"/>
      <c r="AR10" s="1311"/>
      <c r="AS10" s="1311"/>
      <c r="AT10" s="1308"/>
      <c r="AU10" s="2774"/>
      <c r="AW10" s="435"/>
      <c r="AX10" s="435"/>
      <c r="AY10" s="435"/>
      <c r="AZ10" s="435"/>
      <c r="BA10" s="1073">
        <v>0</v>
      </c>
    </row>
    <row r="11" spans="1:53" ht="11.25" hidden="1" customHeight="1">
      <c r="A11" s="1281"/>
      <c r="B11" s="1281"/>
      <c r="C11" s="1281"/>
      <c r="D11" s="1281"/>
      <c r="E11" s="2779"/>
      <c r="F11" s="2779"/>
      <c r="G11" s="2779"/>
      <c r="H11" s="2779"/>
      <c r="I11" s="2787"/>
      <c r="J11" s="2787"/>
      <c r="K11" s="2776"/>
      <c r="L11" s="1282"/>
      <c r="P11" s="2777"/>
      <c r="Q11" s="2777"/>
      <c r="R11" s="2830"/>
      <c r="S11" s="2826"/>
      <c r="T11" s="2829"/>
      <c r="U11" s="236"/>
      <c r="V11" s="1311"/>
      <c r="W11" s="1314" t="str">
        <f>X8&amp;"-"&amp;Z8</f>
        <v>-</v>
      </c>
      <c r="X11" s="2752"/>
      <c r="Y11" s="2619"/>
      <c r="Z11" s="2752"/>
      <c r="AA11" s="2619"/>
      <c r="AB11" s="2619"/>
      <c r="AC11" s="248"/>
      <c r="AD11" s="250"/>
      <c r="AE11" s="350" t="s">
        <v>469</v>
      </c>
      <c r="AF11" s="1311"/>
      <c r="AG11" s="1311"/>
      <c r="AH11" s="1311"/>
      <c r="AI11" s="1311"/>
      <c r="AJ11" s="1311"/>
      <c r="AK11" s="1311"/>
      <c r="AL11" s="1311"/>
      <c r="AM11" s="1311"/>
      <c r="AN11" s="1311"/>
      <c r="AO11" s="1312" t="str">
        <f>AP8&amp;"-"&amp;AR8</f>
        <v>-</v>
      </c>
      <c r="AP11" s="1311"/>
      <c r="AQ11" s="1311"/>
      <c r="AR11" s="1311"/>
      <c r="AS11" s="1311"/>
      <c r="AT11" s="1267"/>
      <c r="AU11" s="2774"/>
      <c r="AW11" s="435"/>
      <c r="AX11" s="435" t="str">
        <f t="shared" ref="AX11:AX17" si="1">IF(T11="","",T11)</f>
        <v/>
      </c>
      <c r="AY11" s="435"/>
      <c r="AZ11" s="435"/>
      <c r="BA11" s="1073">
        <v>0</v>
      </c>
    </row>
    <row r="12" spans="1:53" ht="11.25" hidden="1" customHeight="1">
      <c r="A12" s="1281"/>
      <c r="B12" s="1281"/>
      <c r="C12" s="1281"/>
      <c r="D12" s="1281"/>
      <c r="E12" s="2779"/>
      <c r="F12" s="2779"/>
      <c r="G12" s="2779"/>
      <c r="H12" s="2779"/>
      <c r="I12" s="2787"/>
      <c r="J12" s="2776"/>
      <c r="K12" s="1281"/>
      <c r="L12" s="1282"/>
      <c r="P12" s="2777"/>
      <c r="Q12" s="2777"/>
      <c r="R12" s="291"/>
      <c r="S12" s="1196"/>
      <c r="T12" s="223" t="s">
        <v>470</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775"/>
      <c r="AW12" s="435"/>
      <c r="AX12" s="435" t="str">
        <f t="shared" si="1"/>
        <v>Добавить строку</v>
      </c>
      <c r="AY12" s="435"/>
      <c r="AZ12" s="435"/>
      <c r="BA12" s="1073">
        <v>0</v>
      </c>
    </row>
    <row r="13" spans="1:53" s="2520" customFormat="1" ht="0.75" hidden="1" customHeight="1">
      <c r="A13" s="1261"/>
      <c r="B13" s="1261"/>
      <c r="C13" s="1261"/>
      <c r="D13" s="1261"/>
      <c r="E13" s="2779"/>
      <c r="F13" s="2779"/>
      <c r="G13" s="2779"/>
      <c r="H13" s="2779"/>
      <c r="I13" s="2776"/>
      <c r="J13" s="1261"/>
      <c r="K13" s="1261"/>
      <c r="L13" s="1264"/>
      <c r="M13" s="445"/>
      <c r="N13" s="445"/>
      <c r="O13" s="445"/>
      <c r="P13" s="2777"/>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520" customFormat="1" ht="0.75" hidden="1" customHeight="1">
      <c r="A14" s="1261"/>
      <c r="B14" s="1261"/>
      <c r="C14" s="1261"/>
      <c r="D14" s="1261"/>
      <c r="E14" s="2779"/>
      <c r="F14" s="2779"/>
      <c r="G14" s="2779"/>
      <c r="H14" s="2778"/>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520" customFormat="1" ht="0.75" hidden="1" customHeight="1">
      <c r="A15" s="1261"/>
      <c r="B15" s="1261"/>
      <c r="C15" s="1261"/>
      <c r="D15" s="1232"/>
      <c r="E15" s="2779"/>
      <c r="F15" s="2779"/>
      <c r="G15" s="2778"/>
      <c r="H15" s="1232"/>
      <c r="I15" s="1232"/>
      <c r="J15" s="1232"/>
      <c r="K15" s="1232"/>
      <c r="L15" s="1257"/>
      <c r="M15" s="1233"/>
      <c r="N15" s="1233"/>
      <c r="P15" s="1234"/>
      <c r="Q15" s="1235"/>
      <c r="R15" s="1234"/>
      <c r="S15" s="1240"/>
      <c r="T15" s="1243" t="s">
        <v>160</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520" customFormat="1" ht="0.75" hidden="1" customHeight="1">
      <c r="A16" s="1261"/>
      <c r="B16" s="1261"/>
      <c r="C16" s="1232"/>
      <c r="D16" s="1232"/>
      <c r="E16" s="2779"/>
      <c r="F16" s="2778"/>
      <c r="G16" s="1232"/>
      <c r="H16" s="1232"/>
      <c r="I16" s="1232"/>
      <c r="J16" s="1232"/>
      <c r="K16" s="1232"/>
      <c r="L16" s="1257"/>
      <c r="M16" s="1239"/>
      <c r="N16" s="1239"/>
      <c r="P16" s="1234"/>
      <c r="Q16" s="1235"/>
      <c r="R16" s="1234"/>
      <c r="S16" s="1240"/>
      <c r="T16" s="1243" t="s">
        <v>161</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520" customFormat="1" ht="0.75" hidden="1" customHeight="1">
      <c r="A17" s="1261"/>
      <c r="B17" s="1261"/>
      <c r="C17" s="1261"/>
      <c r="D17" s="1261"/>
      <c r="E17" s="2778"/>
      <c r="F17" s="1261"/>
      <c r="G17" s="1261"/>
      <c r="H17" s="1261"/>
      <c r="I17" s="1261"/>
      <c r="J17" s="1261"/>
      <c r="K17" s="1261"/>
      <c r="L17" s="1264"/>
      <c r="M17" s="1239"/>
      <c r="N17" s="1239"/>
      <c r="O17" s="453"/>
      <c r="P17" s="315"/>
      <c r="Q17" s="1262"/>
      <c r="R17" s="315"/>
      <c r="S17" s="1240"/>
      <c r="T17" s="1243" t="s">
        <v>162</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66</v>
      </c>
      <c r="AR19" s="1653"/>
      <c r="AS19" s="1378" t="s">
        <v>66</v>
      </c>
      <c r="BA19" s="1073">
        <v>0</v>
      </c>
    </row>
    <row r="20" spans="1:53" ht="14.25" hidden="1" customHeight="1">
      <c r="AV20" s="431"/>
      <c r="AW20" s="431"/>
      <c r="AX20" s="431"/>
      <c r="AY20" s="431"/>
      <c r="AZ20" s="431"/>
      <c r="BA20" s="1073">
        <v>0</v>
      </c>
    </row>
    <row r="21" spans="1:53" ht="14.25" hidden="1" customHeight="1">
      <c r="O21" s="1285" t="s">
        <v>416</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551" customFormat="1" ht="14.25" hidden="1" customHeight="1">
      <c r="M23" s="1426"/>
      <c r="N23" s="1426"/>
      <c r="O23" s="1427" t="s">
        <v>417</v>
      </c>
      <c r="P23" s="1426"/>
      <c r="Q23" s="1428"/>
      <c r="R23" s="1428"/>
      <c r="Y23" s="1425" t="s">
        <v>419</v>
      </c>
      <c r="AA23" s="1425" t="s">
        <v>420</v>
      </c>
      <c r="AB23" s="1425" t="s">
        <v>471</v>
      </c>
      <c r="AE23" s="1425" t="s">
        <v>472</v>
      </c>
      <c r="AF23" s="1425" t="s">
        <v>471</v>
      </c>
      <c r="AI23" s="1425" t="s">
        <v>473</v>
      </c>
      <c r="AJ23" s="1425" t="s">
        <v>471</v>
      </c>
      <c r="AM23" s="1425" t="s">
        <v>474</v>
      </c>
      <c r="AQ23" s="1425" t="s">
        <v>419</v>
      </c>
      <c r="AS23" s="1425" t="s">
        <v>420</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74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49"/>
      <c r="U27" s="2749"/>
      <c r="V27" s="2749"/>
      <c r="W27" s="2749"/>
      <c r="X27" s="2749"/>
      <c r="Y27" s="2749"/>
      <c r="Z27" s="2749"/>
      <c r="AA27" s="2749"/>
      <c r="AB27" s="2749"/>
      <c r="AC27" s="2749"/>
      <c r="AD27" s="2749"/>
      <c r="AE27" s="2749"/>
      <c r="AF27" s="2749"/>
      <c r="AG27" s="2749"/>
      <c r="AH27" s="2749"/>
      <c r="AI27" s="2749"/>
      <c r="AJ27" s="2749"/>
      <c r="AK27" s="2749"/>
      <c r="AL27" s="2749"/>
      <c r="AM27" s="2749"/>
      <c r="AN27" s="2749"/>
      <c r="AO27" s="2749"/>
      <c r="AP27" s="2749"/>
      <c r="AQ27" s="2749"/>
      <c r="AR27" s="2749"/>
      <c r="AS27" s="1161"/>
      <c r="BA27" s="1073">
        <v>26</v>
      </c>
    </row>
    <row r="28" spans="1:53" ht="14.65" customHeight="1">
      <c r="Q28" s="227"/>
      <c r="R28" s="311"/>
      <c r="S28" s="2696" t="str">
        <f>IF(org=0,"Не определено",org)</f>
        <v>ООО "Ноябрьская ПГЭ"</v>
      </c>
      <c r="T28" s="2696"/>
      <c r="U28" s="2696"/>
      <c r="V28" s="2696"/>
      <c r="W28" s="2696"/>
      <c r="X28" s="2696"/>
      <c r="Y28" s="2696"/>
      <c r="Z28" s="2696"/>
      <c r="AA28" s="2696"/>
      <c r="AB28" s="2696"/>
      <c r="AC28" s="2696"/>
      <c r="AD28" s="2696"/>
      <c r="AE28" s="2696"/>
      <c r="AF28" s="2696"/>
      <c r="AG28" s="2696"/>
      <c r="AH28" s="2696"/>
      <c r="AI28" s="2696"/>
      <c r="AJ28" s="2696"/>
      <c r="AK28" s="2696"/>
      <c r="AL28" s="2696"/>
      <c r="AM28" s="2696"/>
      <c r="AN28" s="2696"/>
      <c r="AO28" s="2696"/>
      <c r="AP28" s="2696"/>
      <c r="AQ28" s="2696"/>
      <c r="AR28" s="2696"/>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529" customFormat="1" ht="25.5" hidden="1" customHeight="1">
      <c r="A30" s="1286"/>
      <c r="B30" s="1286"/>
      <c r="C30" s="1286"/>
      <c r="D30" s="1286"/>
      <c r="E30" s="1286"/>
      <c r="F30" s="1286"/>
      <c r="G30" s="1286"/>
      <c r="H30" s="1286"/>
      <c r="I30" s="1286"/>
      <c r="J30" s="1286"/>
      <c r="K30" s="1286"/>
      <c r="L30" s="1287"/>
      <c r="M30" s="1286"/>
      <c r="N30" s="1286"/>
      <c r="O30" s="1286"/>
      <c r="P30" s="1286"/>
      <c r="Q30" s="1286"/>
      <c r="S30" s="2772" t="s">
        <v>42</v>
      </c>
      <c r="T30" s="2772"/>
      <c r="U30" s="1290"/>
      <c r="V30" s="2754" t="str">
        <f>IF(TITLE_NAME_OR_PR_CHANGE="",IF(TITLE_NAME_OR_PR="","",TITLE_NAME_OR_PR),TITLE_NAME_OR_PR_CHANGE)</f>
        <v/>
      </c>
      <c r="W30" s="2754"/>
      <c r="X30" s="2754"/>
      <c r="Y30" s="2754"/>
      <c r="Z30" s="2754"/>
      <c r="AA30" s="262"/>
      <c r="AB30" s="2754" t="str">
        <f>IF(TITLE_NAME_OR_PR_CHANGE="",IF(TITLE_NAME_OR_PR="","",TITLE_NAME_OR_PR),TITLE_NAME_OR_PR_CHANGE)</f>
        <v/>
      </c>
      <c r="AC30" s="2754"/>
      <c r="AD30" s="2754"/>
      <c r="AE30" s="2754"/>
      <c r="AF30" s="2754"/>
      <c r="AG30" s="2754"/>
      <c r="AH30" s="2754"/>
      <c r="AI30" s="2754"/>
      <c r="AJ30" s="2754"/>
      <c r="AK30" s="2754"/>
      <c r="AL30" s="2754"/>
      <c r="AM30" s="2754"/>
      <c r="AN30" s="2754"/>
      <c r="AO30" s="2754"/>
      <c r="AP30" s="2754"/>
      <c r="AQ30" s="2754"/>
      <c r="AR30" s="2754"/>
      <c r="AS30" s="262"/>
      <c r="AT30" s="262"/>
      <c r="AU30" s="216"/>
      <c r="AV30" s="303"/>
      <c r="AW30" s="303"/>
      <c r="AX30" s="303"/>
      <c r="AY30" s="303"/>
      <c r="AZ30" s="303"/>
      <c r="BA30" s="353">
        <v>0</v>
      </c>
    </row>
    <row r="31" spans="1:53" s="2529" customFormat="1" ht="18.75" hidden="1" customHeight="1">
      <c r="A31" s="1286"/>
      <c r="B31" s="1286"/>
      <c r="C31" s="1286"/>
      <c r="D31" s="1286"/>
      <c r="E31" s="1286"/>
      <c r="F31" s="1286"/>
      <c r="G31" s="1286"/>
      <c r="H31" s="1286"/>
      <c r="I31" s="1286"/>
      <c r="J31" s="1286"/>
      <c r="K31" s="1286"/>
      <c r="L31" s="1287"/>
      <c r="M31" s="1286"/>
      <c r="N31" s="1286"/>
      <c r="O31" s="1286"/>
      <c r="P31" s="1286"/>
      <c r="Q31" s="1286"/>
      <c r="S31" s="2772" t="s">
        <v>422</v>
      </c>
      <c r="T31" s="2772"/>
      <c r="U31" s="1290"/>
      <c r="V31" s="2755">
        <f>IF(TITLE_DATE_PR_CHANGE="",IF(TITLE_DATE_PR="","",TITLE_DATE_PR),TITLE_DATE_PR_CHANGE)</f>
        <v>45583</v>
      </c>
      <c r="W31" s="2755"/>
      <c r="X31" s="2755"/>
      <c r="Y31" s="2755"/>
      <c r="Z31" s="2755"/>
      <c r="AA31" s="262"/>
      <c r="AB31" s="2755">
        <f>IF(TITLE_DATE_PR_CHANGE="",IF(TITLE_DATE_PR="","",TITLE_DATE_PR),TITLE_DATE_PR_CHANGE)</f>
        <v>45583</v>
      </c>
      <c r="AC31" s="2755"/>
      <c r="AD31" s="2755"/>
      <c r="AE31" s="2755"/>
      <c r="AF31" s="2755"/>
      <c r="AG31" s="2755"/>
      <c r="AH31" s="2755"/>
      <c r="AI31" s="2755"/>
      <c r="AJ31" s="2755"/>
      <c r="AK31" s="2755"/>
      <c r="AL31" s="2755"/>
      <c r="AM31" s="2755"/>
      <c r="AN31" s="2755"/>
      <c r="AO31" s="2755"/>
      <c r="AP31" s="2755"/>
      <c r="AQ31" s="2755"/>
      <c r="AR31" s="2755"/>
      <c r="AS31" s="262"/>
      <c r="AT31" s="262"/>
      <c r="AU31" s="216"/>
      <c r="AV31" s="303"/>
      <c r="AW31" s="303"/>
      <c r="AX31" s="303"/>
      <c r="AY31" s="303"/>
      <c r="AZ31" s="303"/>
      <c r="BA31" s="353">
        <v>0</v>
      </c>
    </row>
    <row r="32" spans="1:53" s="2529" customFormat="1" ht="18.75" hidden="1" customHeight="1">
      <c r="A32" s="1286"/>
      <c r="B32" s="1286"/>
      <c r="C32" s="1286"/>
      <c r="D32" s="1286"/>
      <c r="E32" s="1286"/>
      <c r="F32" s="1286"/>
      <c r="G32" s="1286"/>
      <c r="H32" s="1286"/>
      <c r="I32" s="1286"/>
      <c r="J32" s="1286"/>
      <c r="K32" s="1286"/>
      <c r="L32" s="1287"/>
      <c r="M32" s="1286"/>
      <c r="N32" s="1286"/>
      <c r="O32" s="1286"/>
      <c r="P32" s="1286"/>
      <c r="Q32" s="1286"/>
      <c r="S32" s="2772" t="s">
        <v>423</v>
      </c>
      <c r="T32" s="2772"/>
      <c r="U32" s="1290"/>
      <c r="V32" s="2754" t="str">
        <f>IF(TITLE_NUMBER_PR_CHANGE="",IF(TITLE_NUMBER_PR="","",TITLE_NUMBER_PR),TITLE_NUMBER_PR_CHANGE)</f>
        <v>18-3341</v>
      </c>
      <c r="W32" s="2754"/>
      <c r="X32" s="2754"/>
      <c r="Y32" s="2754"/>
      <c r="Z32" s="2754"/>
      <c r="AA32" s="262"/>
      <c r="AB32" s="2754" t="str">
        <f>IF(TITLE_NUMBER_PR_CHANGE="",IF(TITLE_NUMBER_PR="","",TITLE_NUMBER_PR),TITLE_NUMBER_PR_CHANGE)</f>
        <v>18-3341</v>
      </c>
      <c r="AC32" s="2754"/>
      <c r="AD32" s="2754"/>
      <c r="AE32" s="2754"/>
      <c r="AF32" s="2754"/>
      <c r="AG32" s="2754"/>
      <c r="AH32" s="2754"/>
      <c r="AI32" s="2754"/>
      <c r="AJ32" s="2754"/>
      <c r="AK32" s="2754"/>
      <c r="AL32" s="2754"/>
      <c r="AM32" s="2754"/>
      <c r="AN32" s="2754"/>
      <c r="AO32" s="2754"/>
      <c r="AP32" s="2754"/>
      <c r="AQ32" s="2754"/>
      <c r="AR32" s="2754"/>
      <c r="AS32" s="262"/>
      <c r="AT32" s="262"/>
      <c r="AU32" s="216"/>
      <c r="AV32" s="303"/>
      <c r="AW32" s="303"/>
      <c r="AX32" s="303"/>
      <c r="AY32" s="303"/>
      <c r="AZ32" s="303"/>
      <c r="BA32" s="353">
        <v>0</v>
      </c>
    </row>
    <row r="33" spans="1:53" s="2529" customFormat="1" ht="18.75" hidden="1" customHeight="1">
      <c r="A33" s="1286"/>
      <c r="B33" s="1286"/>
      <c r="C33" s="1286"/>
      <c r="D33" s="1286"/>
      <c r="E33" s="1286"/>
      <c r="F33" s="1286"/>
      <c r="G33" s="1286"/>
      <c r="H33" s="1286"/>
      <c r="I33" s="1286"/>
      <c r="J33" s="1286"/>
      <c r="K33" s="1286"/>
      <c r="L33" s="1287"/>
      <c r="M33" s="1286"/>
      <c r="N33" s="1286"/>
      <c r="O33" s="1286"/>
      <c r="P33" s="1286"/>
      <c r="Q33" s="1286"/>
      <c r="S33" s="2772" t="s">
        <v>43</v>
      </c>
      <c r="T33" s="2772"/>
      <c r="U33" s="1290"/>
      <c r="V33" s="2754" t="str">
        <f>IF(TITLE_IST_PUB_CHANGE="",IF(TITLE_IST_PUB="","",TITLE_IST_PUB),TITLE_IST_PUB_CHANGE)</f>
        <v/>
      </c>
      <c r="W33" s="2754"/>
      <c r="X33" s="2754"/>
      <c r="Y33" s="2754"/>
      <c r="Z33" s="2754"/>
      <c r="AA33" s="262"/>
      <c r="AB33" s="2754" t="str">
        <f>IF(TITLE_IST_PUB_CHANGE="",IF(TITLE_IST_PUB="","",TITLE_IST_PUB),TITLE_IST_PUB_CHANGE)</f>
        <v/>
      </c>
      <c r="AC33" s="2754"/>
      <c r="AD33" s="2754"/>
      <c r="AE33" s="2754"/>
      <c r="AF33" s="2754"/>
      <c r="AG33" s="2754"/>
      <c r="AH33" s="2754"/>
      <c r="AI33" s="2754"/>
      <c r="AJ33" s="2754"/>
      <c r="AK33" s="2754"/>
      <c r="AL33" s="2754"/>
      <c r="AM33" s="2754"/>
      <c r="AN33" s="2754"/>
      <c r="AO33" s="2754"/>
      <c r="AP33" s="2754"/>
      <c r="AQ33" s="2754"/>
      <c r="AR33" s="2754"/>
      <c r="AS33" s="262"/>
      <c r="AT33" s="262"/>
      <c r="AU33" s="216"/>
      <c r="AV33" s="303"/>
      <c r="AW33" s="303"/>
      <c r="AX33" s="303"/>
      <c r="AY33" s="303"/>
      <c r="AZ33" s="303"/>
      <c r="BA33" s="353">
        <v>0</v>
      </c>
    </row>
    <row r="34" spans="1:53" ht="14.25"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529" customFormat="1" ht="18.75" customHeight="1">
      <c r="A35" s="1286"/>
      <c r="B35" s="1286"/>
      <c r="C35" s="1286"/>
      <c r="D35" s="1286"/>
      <c r="E35" s="1286"/>
      <c r="F35" s="1286"/>
      <c r="G35" s="1286"/>
      <c r="H35" s="1286"/>
      <c r="I35" s="1286"/>
      <c r="J35" s="1286"/>
      <c r="K35" s="1286"/>
      <c r="L35" s="1287"/>
      <c r="M35" s="1286"/>
      <c r="N35" s="1286"/>
      <c r="O35" s="1286"/>
      <c r="P35" s="1286"/>
      <c r="Q35" s="1286"/>
      <c r="S35" s="2772" t="s">
        <v>422</v>
      </c>
      <c r="T35" s="2772"/>
      <c r="U35" s="1290"/>
      <c r="V35" s="2755">
        <f>IF(TITLE_DATE_PR_CHANGE="",IF(TITLE_DATE_PR="","",TITLE_DATE_PR),TITLE_DATE_PR_CHANGE)</f>
        <v>45583</v>
      </c>
      <c r="W35" s="2755"/>
      <c r="X35" s="2755"/>
      <c r="Y35" s="2755"/>
      <c r="Z35" s="2755"/>
      <c r="AA35" s="262"/>
      <c r="AB35" s="2755">
        <f>IF(TITLE_DATE_PR_CHANGE="",IF(TITLE_DATE_PR="","",TITLE_DATE_PR),TITLE_DATE_PR_CHANGE)</f>
        <v>45583</v>
      </c>
      <c r="AC35" s="2755"/>
      <c r="AD35" s="2755"/>
      <c r="AE35" s="2755"/>
      <c r="AF35" s="2755"/>
      <c r="AG35" s="2755"/>
      <c r="AH35" s="2755"/>
      <c r="AI35" s="2755"/>
      <c r="AJ35" s="2755"/>
      <c r="AK35" s="2755"/>
      <c r="AL35" s="2755"/>
      <c r="AM35" s="2755"/>
      <c r="AN35" s="2755"/>
      <c r="AO35" s="2755"/>
      <c r="AP35" s="2755"/>
      <c r="AQ35" s="2755"/>
      <c r="AR35" s="2755"/>
      <c r="AS35" s="262"/>
      <c r="AT35" s="262"/>
      <c r="AU35" s="216"/>
      <c r="AV35" s="303"/>
      <c r="AW35" s="303"/>
      <c r="AX35" s="303"/>
      <c r="AY35" s="303"/>
      <c r="AZ35" s="303"/>
      <c r="BA35" s="353">
        <v>0</v>
      </c>
    </row>
    <row r="36" spans="1:53" s="2529" customFormat="1" ht="18" customHeight="1">
      <c r="A36" s="1286"/>
      <c r="B36" s="1286"/>
      <c r="C36" s="1286"/>
      <c r="D36" s="1286"/>
      <c r="E36" s="1286"/>
      <c r="F36" s="1286"/>
      <c r="G36" s="1286"/>
      <c r="H36" s="1286"/>
      <c r="I36" s="1286"/>
      <c r="J36" s="1286"/>
      <c r="K36" s="1286"/>
      <c r="L36" s="1287"/>
      <c r="M36" s="1286"/>
      <c r="N36" s="1286"/>
      <c r="O36" s="1286"/>
      <c r="P36" s="1286"/>
      <c r="Q36" s="1286"/>
      <c r="S36" s="2772" t="s">
        <v>423</v>
      </c>
      <c r="T36" s="2772"/>
      <c r="U36" s="1290"/>
      <c r="V36" s="2754" t="str">
        <f>IF(TITLE_NUMBER_PR_CHANGE="",IF(TITLE_NUMBER_PR="","",TITLE_NUMBER_PR),TITLE_NUMBER_PR_CHANGE)</f>
        <v>18-3341</v>
      </c>
      <c r="W36" s="2754"/>
      <c r="X36" s="2754"/>
      <c r="Y36" s="2754"/>
      <c r="Z36" s="2754"/>
      <c r="AA36" s="262"/>
      <c r="AB36" s="2754" t="str">
        <f>IF(TITLE_NUMBER_PR_CHANGE="",IF(TITLE_NUMBER_PR="","",TITLE_NUMBER_PR),TITLE_NUMBER_PR_CHANGE)</f>
        <v>18-3341</v>
      </c>
      <c r="AC36" s="2754"/>
      <c r="AD36" s="2754"/>
      <c r="AE36" s="2754"/>
      <c r="AF36" s="2754"/>
      <c r="AG36" s="2754"/>
      <c r="AH36" s="2754"/>
      <c r="AI36" s="2754"/>
      <c r="AJ36" s="2754"/>
      <c r="AK36" s="2754"/>
      <c r="AL36" s="2754"/>
      <c r="AM36" s="2754"/>
      <c r="AN36" s="2754"/>
      <c r="AO36" s="2754"/>
      <c r="AP36" s="2754"/>
      <c r="AQ36" s="2754"/>
      <c r="AR36" s="2754"/>
      <c r="AS36" s="262"/>
      <c r="AT36" s="262"/>
      <c r="AU36" s="216"/>
      <c r="AV36" s="303"/>
      <c r="AW36" s="303"/>
      <c r="AX36" s="303"/>
      <c r="AY36" s="303"/>
      <c r="AZ36" s="303"/>
      <c r="BA36" s="353">
        <v>0</v>
      </c>
    </row>
    <row r="37" spans="1:53" s="2529"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426</v>
      </c>
      <c r="AB37" s="262"/>
      <c r="AC37" s="262"/>
      <c r="AD37" s="262"/>
      <c r="AE37" s="262"/>
      <c r="AF37" s="262"/>
      <c r="AG37" s="262"/>
      <c r="AH37" s="262"/>
      <c r="AI37" s="262"/>
      <c r="AJ37" s="262"/>
      <c r="AK37" s="262"/>
      <c r="AL37" s="262"/>
      <c r="AM37" s="262"/>
      <c r="AN37" s="262"/>
      <c r="AO37" s="262"/>
      <c r="AP37" s="262"/>
      <c r="AQ37" s="262"/>
      <c r="AR37" s="262"/>
      <c r="AS37" s="214" t="s">
        <v>426</v>
      </c>
      <c r="AV37" s="303"/>
      <c r="AW37" s="303"/>
      <c r="AX37" s="303"/>
      <c r="AY37" s="303"/>
      <c r="AZ37" s="303"/>
      <c r="BA37" s="353">
        <v>1</v>
      </c>
    </row>
    <row r="38" spans="1:53" ht="14.65" customHeight="1">
      <c r="Q38" s="227"/>
      <c r="R38" s="311"/>
      <c r="S38" s="1193"/>
      <c r="T38" s="298"/>
      <c r="U38" s="1162"/>
      <c r="V38" s="2756"/>
      <c r="W38" s="2756"/>
      <c r="X38" s="2756"/>
      <c r="Y38" s="2756"/>
      <c r="Z38" s="2756"/>
      <c r="AA38" s="2756"/>
      <c r="AB38" s="2756"/>
      <c r="AC38" s="2756"/>
      <c r="AD38" s="2756"/>
      <c r="AE38" s="2756"/>
      <c r="AF38" s="2756"/>
      <c r="AG38" s="2756"/>
      <c r="AH38" s="2756"/>
      <c r="AI38" s="2756"/>
      <c r="AJ38" s="2756"/>
      <c r="AK38" s="2756"/>
      <c r="AL38" s="2756"/>
      <c r="AM38" s="2756"/>
      <c r="AN38" s="2756"/>
      <c r="AO38" s="2756"/>
      <c r="AP38" s="2756"/>
      <c r="AQ38" s="2756"/>
      <c r="AR38" s="2756"/>
      <c r="AS38" s="2756"/>
      <c r="BA38" s="1073">
        <v>14</v>
      </c>
    </row>
    <row r="39" spans="1:53" ht="14.65" customHeight="1">
      <c r="Q39" s="227"/>
      <c r="R39" s="311"/>
      <c r="S39" s="2638" t="s">
        <v>302</v>
      </c>
      <c r="T39" s="2638"/>
      <c r="U39" s="2638"/>
      <c r="V39" s="2638"/>
      <c r="W39" s="2638"/>
      <c r="X39" s="2638"/>
      <c r="Y39" s="2638"/>
      <c r="Z39" s="2638"/>
      <c r="AA39" s="2638"/>
      <c r="AB39" s="2695"/>
      <c r="AC39" s="2695"/>
      <c r="AD39" s="2695"/>
      <c r="AE39" s="2695"/>
      <c r="AF39" s="2638"/>
      <c r="AG39" s="2638"/>
      <c r="AH39" s="2638"/>
      <c r="AI39" s="2638"/>
      <c r="AJ39" s="2638"/>
      <c r="AK39" s="2638"/>
      <c r="AL39" s="2638"/>
      <c r="AM39" s="2638"/>
      <c r="AN39" s="2638"/>
      <c r="AO39" s="2638"/>
      <c r="AP39" s="2638"/>
      <c r="AQ39" s="2638"/>
      <c r="AR39" s="2638"/>
      <c r="AS39" s="2638"/>
      <c r="AT39" s="2638"/>
      <c r="AU39" s="2638" t="s">
        <v>303</v>
      </c>
      <c r="BA39" s="1073">
        <v>14</v>
      </c>
    </row>
    <row r="40" spans="1:53" ht="14.65" customHeight="1">
      <c r="Q40" s="227"/>
      <c r="R40" s="311"/>
      <c r="S40" s="2782" t="s">
        <v>87</v>
      </c>
      <c r="T40" s="2724" t="s">
        <v>475</v>
      </c>
      <c r="U40" s="237"/>
      <c r="V40" s="2758"/>
      <c r="W40" s="2758"/>
      <c r="X40" s="2758"/>
      <c r="Y40" s="2758"/>
      <c r="Z40" s="2759"/>
      <c r="AA40" s="2819" t="s">
        <v>430</v>
      </c>
      <c r="AB40" s="2811" t="s">
        <v>476</v>
      </c>
      <c r="AC40" s="2792"/>
      <c r="AD40" s="2792"/>
      <c r="AE40" s="2812"/>
      <c r="AF40" s="2792" t="s">
        <v>477</v>
      </c>
      <c r="AG40" s="2792"/>
      <c r="AH40" s="2792"/>
      <c r="AI40" s="2812"/>
      <c r="AJ40" s="2811" t="s">
        <v>478</v>
      </c>
      <c r="AK40" s="2792"/>
      <c r="AL40" s="2792"/>
      <c r="AM40" s="2812"/>
      <c r="AN40" s="2811" t="s">
        <v>429</v>
      </c>
      <c r="AO40" s="2792"/>
      <c r="AP40" s="2758"/>
      <c r="AQ40" s="2758"/>
      <c r="AR40" s="2759"/>
      <c r="AS40" s="2760" t="s">
        <v>430</v>
      </c>
      <c r="AT40" s="2783" t="s">
        <v>432</v>
      </c>
      <c r="AU40" s="2638"/>
      <c r="BA40" s="1073">
        <v>14</v>
      </c>
    </row>
    <row r="41" spans="1:53" ht="35.65" customHeight="1">
      <c r="Q41" s="227"/>
      <c r="R41" s="311"/>
      <c r="S41" s="2782"/>
      <c r="T41" s="2724"/>
      <c r="U41" s="953"/>
      <c r="V41" s="2638" t="s">
        <v>479</v>
      </c>
      <c r="W41" s="2638"/>
      <c r="X41" s="2710" t="s">
        <v>436</v>
      </c>
      <c r="Y41" s="2806"/>
      <c r="Z41" s="2711"/>
      <c r="AA41" s="2820"/>
      <c r="AB41" s="2813"/>
      <c r="AC41" s="2814"/>
      <c r="AD41" s="2814"/>
      <c r="AE41" s="2815"/>
      <c r="AF41" s="2814"/>
      <c r="AG41" s="2814"/>
      <c r="AH41" s="2814"/>
      <c r="AI41" s="2815"/>
      <c r="AJ41" s="2813"/>
      <c r="AK41" s="2814"/>
      <c r="AL41" s="2814"/>
      <c r="AM41" s="2814"/>
      <c r="AN41" s="2638" t="s">
        <v>479</v>
      </c>
      <c r="AO41" s="2638"/>
      <c r="AP41" s="2806" t="s">
        <v>436</v>
      </c>
      <c r="AQ41" s="2806"/>
      <c r="AR41" s="2711"/>
      <c r="AS41" s="2761"/>
      <c r="AT41" s="2784"/>
      <c r="AU41" s="2638"/>
      <c r="BA41" s="1073">
        <v>34</v>
      </c>
    </row>
    <row r="42" spans="1:53" ht="14.65" customHeight="1">
      <c r="Q42" s="227"/>
      <c r="R42" s="311"/>
      <c r="S42" s="2782"/>
      <c r="T42" s="2724"/>
      <c r="U42" s="953"/>
      <c r="V42" s="2823" t="str">
        <f>IF($AN$42&lt;&gt;"",$AN$42,"")</f>
        <v/>
      </c>
      <c r="W42" s="2823"/>
      <c r="X42" s="2715"/>
      <c r="Y42" s="2807"/>
      <c r="Z42" s="2716"/>
      <c r="AA42" s="2820"/>
      <c r="AB42" s="2813"/>
      <c r="AC42" s="2814"/>
      <c r="AD42" s="2814"/>
      <c r="AE42" s="2815"/>
      <c r="AF42" s="2814"/>
      <c r="AG42" s="2814"/>
      <c r="AH42" s="2814"/>
      <c r="AI42" s="2815"/>
      <c r="AJ42" s="2813"/>
      <c r="AK42" s="2814"/>
      <c r="AL42" s="2814"/>
      <c r="AM42" s="2814"/>
      <c r="AN42" s="2822"/>
      <c r="AO42" s="2822"/>
      <c r="AP42" s="2807"/>
      <c r="AQ42" s="2807"/>
      <c r="AR42" s="2716"/>
      <c r="AS42" s="2761"/>
      <c r="AT42" s="2784"/>
      <c r="AU42" s="2638"/>
      <c r="BA42" s="1073">
        <v>14</v>
      </c>
    </row>
    <row r="43" spans="1:53" ht="14.65" customHeight="1">
      <c r="A43" s="1288"/>
      <c r="B43" s="1288" t="s">
        <v>134</v>
      </c>
      <c r="C43" s="1288" t="s">
        <v>135</v>
      </c>
      <c r="D43" s="1288" t="s">
        <v>136</v>
      </c>
      <c r="E43" s="1282" t="s">
        <v>437</v>
      </c>
      <c r="F43" s="1282" t="s">
        <v>438</v>
      </c>
      <c r="G43" s="1282" t="s">
        <v>439</v>
      </c>
      <c r="H43" s="1282" t="s">
        <v>440</v>
      </c>
      <c r="I43" s="1282" t="s">
        <v>441</v>
      </c>
      <c r="J43" s="1282" t="s">
        <v>442</v>
      </c>
      <c r="K43" s="1282" t="s">
        <v>443</v>
      </c>
      <c r="L43" s="1282" t="s">
        <v>417</v>
      </c>
      <c r="Q43" s="227"/>
      <c r="R43" s="311"/>
      <c r="S43" s="2782"/>
      <c r="T43" s="2724"/>
      <c r="U43" s="238"/>
      <c r="V43" s="1248" t="s">
        <v>480</v>
      </c>
      <c r="W43" s="1248" t="s">
        <v>481</v>
      </c>
      <c r="X43" s="1256" t="s">
        <v>446</v>
      </c>
      <c r="Y43" s="2733" t="s">
        <v>447</v>
      </c>
      <c r="Z43" s="2735"/>
      <c r="AA43" s="2821"/>
      <c r="AB43" s="2816"/>
      <c r="AC43" s="2817"/>
      <c r="AD43" s="2817"/>
      <c r="AE43" s="2818"/>
      <c r="AF43" s="2817"/>
      <c r="AG43" s="2817"/>
      <c r="AH43" s="2817"/>
      <c r="AI43" s="2818"/>
      <c r="AJ43" s="2816"/>
      <c r="AK43" s="2817"/>
      <c r="AL43" s="2817"/>
      <c r="AM43" s="2818"/>
      <c r="AN43" s="1775" t="s">
        <v>480</v>
      </c>
      <c r="AO43" s="1775" t="s">
        <v>481</v>
      </c>
      <c r="AP43" s="1256" t="s">
        <v>446</v>
      </c>
      <c r="AQ43" s="2733" t="s">
        <v>447</v>
      </c>
      <c r="AR43" s="2735"/>
      <c r="AS43" s="2762"/>
      <c r="AT43" s="2785"/>
      <c r="AU43" s="2638"/>
      <c r="BA43" s="1073">
        <v>14</v>
      </c>
    </row>
    <row r="44" spans="1:53" s="2544"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108</v>
      </c>
      <c r="T44" s="1173" t="s">
        <v>109</v>
      </c>
      <c r="U44" s="1163" t="str">
        <f ca="1">OFFSET(U44,0,-1)</f>
        <v>2</v>
      </c>
      <c r="V44" s="1253">
        <f ca="1">OFFSET(V44,0,-1)+1</f>
        <v>3</v>
      </c>
      <c r="W44" s="1253">
        <f ca="1">OFFSET(W44,0,-1)+1</f>
        <v>4</v>
      </c>
      <c r="X44" s="1253">
        <f ca="1">OFFSET(X44,0,-1)+1</f>
        <v>5</v>
      </c>
      <c r="Y44" s="2765">
        <f ca="1">OFFSET(Y44,0,-1)+1</f>
        <v>6</v>
      </c>
      <c r="Z44" s="2765"/>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765">
        <f ca="1">OFFSET(AQ44,0,-1)+1</f>
        <v>4</v>
      </c>
      <c r="AR44" s="2765"/>
      <c r="AS44" s="1253">
        <f ca="1">OFFSET(AS44,0,-2)+1</f>
        <v>5</v>
      </c>
      <c r="AT44" s="1163">
        <f ca="1">OFFSET(AT44,0,-1)</f>
        <v>5</v>
      </c>
      <c r="AU44" s="1253">
        <f ca="1">OFFSET(AU44,0,-1)+1</f>
        <v>6</v>
      </c>
      <c r="AV44" s="446"/>
      <c r="AW44" s="446"/>
      <c r="AX44" s="446"/>
      <c r="AY44" s="446"/>
      <c r="AZ44" s="446"/>
      <c r="BA44" s="431">
        <v>0</v>
      </c>
    </row>
    <row r="45" spans="1:53" ht="107.25" customHeight="1">
      <c r="A45" s="1281" t="s">
        <v>202</v>
      </c>
      <c r="B45" s="1281"/>
      <c r="C45" s="1281"/>
      <c r="D45" s="1281"/>
      <c r="E45" s="2778">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122</v>
      </c>
      <c r="U45" s="236"/>
      <c r="V45" s="2767"/>
      <c r="W45" s="2767"/>
      <c r="X45" s="2767"/>
      <c r="Y45" s="2767"/>
      <c r="Z45" s="2767"/>
      <c r="AA45" s="2768"/>
      <c r="AB45" s="2766" t="str">
        <f>INDEX(PT_DIFFERENTIATION_NTAR,MATCH(A45,PT_DIFFERENTIATION_NTAR_ID,0))</f>
        <v/>
      </c>
      <c r="AC45" s="2767"/>
      <c r="AD45" s="2767"/>
      <c r="AE45" s="2767"/>
      <c r="AF45" s="2767"/>
      <c r="AG45" s="2767"/>
      <c r="AH45" s="2767"/>
      <c r="AI45" s="2767"/>
      <c r="AJ45" s="2767"/>
      <c r="AK45" s="2767"/>
      <c r="AL45" s="2767"/>
      <c r="AM45" s="2767"/>
      <c r="AN45" s="2767"/>
      <c r="AO45" s="2767"/>
      <c r="AP45" s="2767"/>
      <c r="AQ45" s="2767"/>
      <c r="AR45" s="2767"/>
      <c r="AS45" s="2767"/>
      <c r="AT45" s="2768"/>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202</v>
      </c>
      <c r="B46" s="1281" t="s">
        <v>203</v>
      </c>
      <c r="C46" s="1281"/>
      <c r="D46" s="1281"/>
      <c r="E46" s="2779"/>
      <c r="F46" s="2778">
        <v>1</v>
      </c>
      <c r="G46" s="1281"/>
      <c r="H46" s="1281"/>
      <c r="I46" s="1281"/>
      <c r="J46" s="1281"/>
      <c r="K46" s="1281"/>
      <c r="L46" s="1282"/>
      <c r="M46" s="1283"/>
      <c r="N46" s="1283"/>
      <c r="O46" s="1283"/>
      <c r="P46" s="1328"/>
      <c r="Q46" s="1329"/>
      <c r="R46" s="288"/>
      <c r="S46" s="1254" t="str">
        <f>INDEX(PT_DIFFERENTIATION_NUM_TER,MATCH(B46,PT_DIFFERENTIATION_TER_ID,0))</f>
        <v>.</v>
      </c>
      <c r="T46" s="244" t="s">
        <v>399</v>
      </c>
      <c r="U46" s="236"/>
      <c r="V46" s="2767"/>
      <c r="W46" s="2767"/>
      <c r="X46" s="2767"/>
      <c r="Y46" s="2767"/>
      <c r="Z46" s="2767"/>
      <c r="AA46" s="2768"/>
      <c r="AB46" s="2766" t="str">
        <f>INDEX(PT_DIFFERENTIATION_TER,MATCH(B46,PT_DIFFERENTIATION_TER_ID,0))</f>
        <v/>
      </c>
      <c r="AC46" s="2767"/>
      <c r="AD46" s="2767"/>
      <c r="AE46" s="2767"/>
      <c r="AF46" s="2767"/>
      <c r="AG46" s="2767"/>
      <c r="AH46" s="2767"/>
      <c r="AI46" s="2767"/>
      <c r="AJ46" s="2767"/>
      <c r="AK46" s="2767"/>
      <c r="AL46" s="2767"/>
      <c r="AM46" s="2767"/>
      <c r="AN46" s="2767"/>
      <c r="AO46" s="2767"/>
      <c r="AP46" s="2767"/>
      <c r="AQ46" s="2767"/>
      <c r="AR46" s="2767"/>
      <c r="AS46" s="2767"/>
      <c r="AT46" s="2768"/>
      <c r="AU46" s="1176" t="s">
        <v>400</v>
      </c>
      <c r="AW46" s="435"/>
      <c r="AX46" s="435" t="str">
        <f t="shared" si="2"/>
        <v>Территория действия тарифа</v>
      </c>
      <c r="AY46" s="435"/>
      <c r="AZ46" s="435"/>
      <c r="BA46" s="1073">
        <v>21</v>
      </c>
    </row>
    <row r="47" spans="1:53" ht="24" customHeight="1">
      <c r="A47" s="1281" t="s">
        <v>202</v>
      </c>
      <c r="B47" s="1281" t="s">
        <v>203</v>
      </c>
      <c r="C47" s="1281" t="s">
        <v>204</v>
      </c>
      <c r="D47" s="1281"/>
      <c r="E47" s="2779"/>
      <c r="F47" s="2779"/>
      <c r="G47" s="2778">
        <v>1</v>
      </c>
      <c r="H47" s="1281"/>
      <c r="I47" s="1281"/>
      <c r="J47" s="1281"/>
      <c r="K47" s="1281"/>
      <c r="L47" s="1282"/>
      <c r="M47" s="1283"/>
      <c r="N47" s="1283"/>
      <c r="O47" s="1283"/>
      <c r="P47" s="1330"/>
      <c r="Q47" s="1329"/>
      <c r="R47" s="288"/>
      <c r="S47" s="1254" t="str">
        <f>INDEX(PT_DIFFERENTIATION_NUM_CS,MATCH(C47,PT_DIFFERENTIATION_CS_ID,0))</f>
        <v>..</v>
      </c>
      <c r="T47" s="245" t="s">
        <v>401</v>
      </c>
      <c r="U47" s="236"/>
      <c r="V47" s="2767"/>
      <c r="W47" s="2767"/>
      <c r="X47" s="2767"/>
      <c r="Y47" s="2767"/>
      <c r="Z47" s="2767"/>
      <c r="AA47" s="2768"/>
      <c r="AB47" s="2766" t="str">
        <f>INDEX(PT_DIFFERENTIATION_CS,MATCH(C47,PT_DIFFERENTIATION_CS_ID,0))</f>
        <v/>
      </c>
      <c r="AC47" s="2767"/>
      <c r="AD47" s="2767"/>
      <c r="AE47" s="2767"/>
      <c r="AF47" s="2767"/>
      <c r="AG47" s="2767"/>
      <c r="AH47" s="2767"/>
      <c r="AI47" s="2767"/>
      <c r="AJ47" s="2767"/>
      <c r="AK47" s="2767"/>
      <c r="AL47" s="2767"/>
      <c r="AM47" s="2767"/>
      <c r="AN47" s="2767"/>
      <c r="AO47" s="2767"/>
      <c r="AP47" s="2767"/>
      <c r="AQ47" s="2767"/>
      <c r="AR47" s="2767"/>
      <c r="AS47" s="2767"/>
      <c r="AT47" s="2768"/>
      <c r="AU47" s="1176" t="s">
        <v>402</v>
      </c>
      <c r="AW47" s="435"/>
      <c r="AX47" s="435" t="str">
        <f t="shared" si="2"/>
        <v xml:space="preserve">Наименование системы теплоснабжения </v>
      </c>
      <c r="AY47" s="435"/>
      <c r="AZ47" s="435"/>
      <c r="BA47" s="1073">
        <v>23</v>
      </c>
    </row>
    <row r="48" spans="1:53" ht="21" customHeight="1">
      <c r="A48" s="1281" t="s">
        <v>202</v>
      </c>
      <c r="B48" s="1281" t="s">
        <v>203</v>
      </c>
      <c r="C48" s="1281" t="s">
        <v>204</v>
      </c>
      <c r="D48" s="1281" t="s">
        <v>205</v>
      </c>
      <c r="E48" s="2779"/>
      <c r="F48" s="2779"/>
      <c r="G48" s="2779"/>
      <c r="H48" s="2778">
        <v>1</v>
      </c>
      <c r="I48" s="1281"/>
      <c r="J48" s="1281"/>
      <c r="K48" s="1281"/>
      <c r="L48" s="1282"/>
      <c r="M48" s="1283"/>
      <c r="N48" s="1283"/>
      <c r="O48" s="1283"/>
      <c r="P48" s="1330"/>
      <c r="Q48" s="1329"/>
      <c r="R48" s="288"/>
      <c r="S48" s="1254" t="str">
        <f>INDEX(PT_DIFFERENTIATION_NUM_IST_TE,MATCH(D48,PT_DIFFERENTIATION_IST_TE_ID,0))</f>
        <v>...</v>
      </c>
      <c r="T48" s="246" t="s">
        <v>403</v>
      </c>
      <c r="U48" s="236"/>
      <c r="V48" s="2767"/>
      <c r="W48" s="2767"/>
      <c r="X48" s="2767"/>
      <c r="Y48" s="2767"/>
      <c r="Z48" s="2767"/>
      <c r="AA48" s="2768"/>
      <c r="AB48" s="2766" t="str">
        <f>INDEX(PT_DIFFERENTIATION_IST_TE,MATCH(D48,PT_DIFFERENTIATION_IST_TE_ID,0))</f>
        <v/>
      </c>
      <c r="AC48" s="2767"/>
      <c r="AD48" s="2767"/>
      <c r="AE48" s="2767"/>
      <c r="AF48" s="2767"/>
      <c r="AG48" s="2767"/>
      <c r="AH48" s="2767"/>
      <c r="AI48" s="2767"/>
      <c r="AJ48" s="2767"/>
      <c r="AK48" s="2767"/>
      <c r="AL48" s="2767"/>
      <c r="AM48" s="2767"/>
      <c r="AN48" s="2767"/>
      <c r="AO48" s="2767"/>
      <c r="AP48" s="2767"/>
      <c r="AQ48" s="2767"/>
      <c r="AR48" s="2767"/>
      <c r="AS48" s="2767"/>
      <c r="AT48" s="2768"/>
      <c r="AU48" s="1176" t="s">
        <v>404</v>
      </c>
      <c r="AW48" s="435"/>
      <c r="AX48" s="435" t="str">
        <f t="shared" si="2"/>
        <v xml:space="preserve">Источник тепловой энергии  </v>
      </c>
      <c r="AY48" s="435"/>
      <c r="AZ48" s="435"/>
      <c r="BA48" s="1073">
        <v>20</v>
      </c>
    </row>
    <row r="49" spans="1:53" s="2520" customFormat="1" ht="1.1499999999999999" customHeight="1">
      <c r="A49" s="1261" t="s">
        <v>202</v>
      </c>
      <c r="B49" s="1261" t="s">
        <v>203</v>
      </c>
      <c r="C49" s="1261" t="s">
        <v>204</v>
      </c>
      <c r="D49" s="1261" t="s">
        <v>205</v>
      </c>
      <c r="E49" s="2779"/>
      <c r="F49" s="2779"/>
      <c r="G49" s="2779"/>
      <c r="H49" s="2779"/>
      <c r="I49" s="2776" t="str">
        <f>S48&amp;".1"</f>
        <v>....1</v>
      </c>
      <c r="J49" s="1261"/>
      <c r="K49" s="1261"/>
      <c r="L49" s="1264" t="s">
        <v>405</v>
      </c>
      <c r="M49" s="445"/>
      <c r="N49" s="445"/>
      <c r="O49" s="445"/>
      <c r="P49" s="2777">
        <v>1</v>
      </c>
      <c r="Q49" s="1249"/>
      <c r="R49" s="291"/>
      <c r="S49" s="964"/>
      <c r="T49" s="1301"/>
      <c r="U49" s="1302"/>
      <c r="V49" s="2796"/>
      <c r="W49" s="2796"/>
      <c r="X49" s="2796"/>
      <c r="Y49" s="2796"/>
      <c r="Z49" s="2796"/>
      <c r="AA49" s="2797"/>
      <c r="AB49" s="2795"/>
      <c r="AC49" s="2796"/>
      <c r="AD49" s="2796"/>
      <c r="AE49" s="2796"/>
      <c r="AF49" s="2796"/>
      <c r="AG49" s="2796"/>
      <c r="AH49" s="2796"/>
      <c r="AI49" s="2796"/>
      <c r="AJ49" s="2796"/>
      <c r="AK49" s="2796"/>
      <c r="AL49" s="2796"/>
      <c r="AM49" s="2796"/>
      <c r="AN49" s="2796"/>
      <c r="AO49" s="2796"/>
      <c r="AP49" s="2796"/>
      <c r="AQ49" s="2796"/>
      <c r="AR49" s="2796"/>
      <c r="AS49" s="2796"/>
      <c r="AT49" s="2797"/>
      <c r="AU49" s="1303"/>
      <c r="AW49" s="435"/>
      <c r="AX49" s="435" t="str">
        <f t="shared" si="2"/>
        <v/>
      </c>
      <c r="AY49" s="435"/>
      <c r="AZ49" s="435"/>
      <c r="BA49" s="446">
        <v>1</v>
      </c>
    </row>
    <row r="50" spans="1:53" s="2520" customFormat="1" ht="1.1499999999999999" customHeight="1">
      <c r="A50" s="1261" t="s">
        <v>202</v>
      </c>
      <c r="B50" s="1261" t="s">
        <v>203</v>
      </c>
      <c r="C50" s="1261" t="s">
        <v>204</v>
      </c>
      <c r="D50" s="1261" t="s">
        <v>205</v>
      </c>
      <c r="E50" s="2779"/>
      <c r="F50" s="2779"/>
      <c r="G50" s="2779"/>
      <c r="H50" s="2779"/>
      <c r="I50" s="2787"/>
      <c r="J50" s="2776" t="str">
        <f>S48&amp;".1"</f>
        <v>....1</v>
      </c>
      <c r="K50" s="1261"/>
      <c r="L50" s="1264"/>
      <c r="M50" s="445"/>
      <c r="N50" s="445"/>
      <c r="O50" s="445"/>
      <c r="P50" s="2777"/>
      <c r="Q50" s="2777">
        <v>1</v>
      </c>
      <c r="R50" s="292"/>
      <c r="S50" s="964"/>
      <c r="T50" s="1317"/>
      <c r="U50" s="1302"/>
      <c r="V50" s="2796"/>
      <c r="W50" s="2796"/>
      <c r="X50" s="2796"/>
      <c r="Y50" s="2796"/>
      <c r="Z50" s="2796"/>
      <c r="AA50" s="2797"/>
      <c r="AB50" s="2795"/>
      <c r="AC50" s="2796"/>
      <c r="AD50" s="2796"/>
      <c r="AE50" s="2796"/>
      <c r="AF50" s="2796"/>
      <c r="AG50" s="2796"/>
      <c r="AH50" s="2796"/>
      <c r="AI50" s="2796"/>
      <c r="AJ50" s="2796"/>
      <c r="AK50" s="2796"/>
      <c r="AL50" s="2796"/>
      <c r="AM50" s="2796"/>
      <c r="AN50" s="2796"/>
      <c r="AO50" s="2796"/>
      <c r="AP50" s="2796"/>
      <c r="AQ50" s="2796"/>
      <c r="AR50" s="2796"/>
      <c r="AS50" s="2796"/>
      <c r="AT50" s="2797"/>
      <c r="AU50" s="1303"/>
      <c r="AW50" s="435"/>
      <c r="AX50" s="435" t="str">
        <f t="shared" si="2"/>
        <v/>
      </c>
      <c r="AY50" s="435"/>
      <c r="AZ50" s="435"/>
      <c r="BA50" s="446">
        <v>1</v>
      </c>
    </row>
    <row r="51" spans="1:53" ht="21.95" customHeight="1">
      <c r="A51" s="1281" t="s">
        <v>202</v>
      </c>
      <c r="B51" s="1281" t="s">
        <v>203</v>
      </c>
      <c r="C51" s="1281" t="s">
        <v>204</v>
      </c>
      <c r="D51" s="1281" t="s">
        <v>205</v>
      </c>
      <c r="E51" s="2779"/>
      <c r="F51" s="2779"/>
      <c r="G51" s="2779"/>
      <c r="H51" s="2779"/>
      <c r="I51" s="2787"/>
      <c r="J51" s="2787"/>
      <c r="K51" s="2776" t="str">
        <f>S48&amp;".1"</f>
        <v>....1</v>
      </c>
      <c r="L51" s="1282"/>
      <c r="P51" s="2777"/>
      <c r="Q51" s="2777"/>
      <c r="R51" s="292">
        <v>1</v>
      </c>
      <c r="S51" s="2824" t="str">
        <f>$K51</f>
        <v>....1</v>
      </c>
      <c r="T51" s="2827"/>
      <c r="U51" s="236"/>
      <c r="V51" s="686"/>
      <c r="W51" s="1175"/>
      <c r="X51" s="1651"/>
      <c r="Y51" s="1377" t="s">
        <v>66</v>
      </c>
      <c r="Z51" s="1651"/>
      <c r="AA51" s="1377" t="s">
        <v>66</v>
      </c>
      <c r="AB51" s="2619" t="s">
        <v>19</v>
      </c>
      <c r="AC51" s="2809"/>
      <c r="AD51" s="2720">
        <v>1</v>
      </c>
      <c r="AE51" s="2831" t="s">
        <v>28</v>
      </c>
      <c r="AF51" s="2619" t="s">
        <v>19</v>
      </c>
      <c r="AG51" s="2809"/>
      <c r="AH51" s="2720">
        <v>1</v>
      </c>
      <c r="AI51" s="2831" t="s">
        <v>28</v>
      </c>
      <c r="AJ51" s="2619" t="s">
        <v>19</v>
      </c>
      <c r="AK51" s="247"/>
      <c r="AL51" s="1255">
        <v>1</v>
      </c>
      <c r="AM51" s="1320"/>
      <c r="AN51" s="686"/>
      <c r="AO51" s="1175"/>
      <c r="AP51" s="1651"/>
      <c r="AQ51" s="1377" t="s">
        <v>66</v>
      </c>
      <c r="AR51" s="1651"/>
      <c r="AS51" s="1377" t="s">
        <v>66</v>
      </c>
      <c r="AT51" s="1266"/>
      <c r="AU51" s="2773" t="s">
        <v>482</v>
      </c>
      <c r="AV51" s="446" t="e">
        <f ca="1">STRCHECKDATE(V54:AT54)</f>
        <v>#NAME?</v>
      </c>
      <c r="AW51" s="435"/>
      <c r="AX51" s="435" t="str">
        <f t="shared" si="2"/>
        <v/>
      </c>
      <c r="AY51" s="435"/>
      <c r="AZ51" s="435"/>
      <c r="BA51" s="1073">
        <v>21</v>
      </c>
    </row>
    <row r="52" spans="1:53" ht="11.45" customHeight="1">
      <c r="A52" s="1281" t="s">
        <v>202</v>
      </c>
      <c r="B52" s="1281"/>
      <c r="C52" s="1281"/>
      <c r="D52" s="1281"/>
      <c r="E52" s="2779"/>
      <c r="F52" s="2779"/>
      <c r="G52" s="2779"/>
      <c r="H52" s="2779"/>
      <c r="I52" s="2787"/>
      <c r="J52" s="2787"/>
      <c r="K52" s="2776"/>
      <c r="L52" s="1282"/>
      <c r="P52" s="2777"/>
      <c r="Q52" s="2777"/>
      <c r="R52" s="292"/>
      <c r="S52" s="2825"/>
      <c r="T52" s="2828"/>
      <c r="U52" s="236"/>
      <c r="V52" s="1311"/>
      <c r="W52" s="1414"/>
      <c r="X52" s="1311"/>
      <c r="Y52" s="1311"/>
      <c r="Z52" s="1311"/>
      <c r="AA52" s="1311"/>
      <c r="AB52" s="2619"/>
      <c r="AC52" s="2809"/>
      <c r="AD52" s="2720"/>
      <c r="AE52" s="2831"/>
      <c r="AF52" s="2619"/>
      <c r="AG52" s="2809"/>
      <c r="AH52" s="2720"/>
      <c r="AI52" s="2831"/>
      <c r="AJ52" s="2619"/>
      <c r="AK52" s="252"/>
      <c r="AL52" s="351"/>
      <c r="AM52" s="350" t="s">
        <v>467</v>
      </c>
      <c r="AN52" s="1311"/>
      <c r="AO52" s="1414"/>
      <c r="AP52" s="1311"/>
      <c r="AQ52" s="1311"/>
      <c r="AR52" s="1311"/>
      <c r="AS52" s="1311"/>
      <c r="AT52" s="1308"/>
      <c r="AU52" s="2774"/>
      <c r="AW52" s="435"/>
      <c r="AX52" s="435"/>
      <c r="AY52" s="435"/>
      <c r="AZ52" s="435"/>
      <c r="BA52" s="1073">
        <v>11</v>
      </c>
    </row>
    <row r="53" spans="1:53" ht="11.45" customHeight="1">
      <c r="A53" s="1281" t="s">
        <v>202</v>
      </c>
      <c r="B53" s="1281"/>
      <c r="C53" s="1281"/>
      <c r="D53" s="1281"/>
      <c r="E53" s="2779"/>
      <c r="F53" s="2779"/>
      <c r="G53" s="2779"/>
      <c r="H53" s="2779"/>
      <c r="I53" s="2787"/>
      <c r="J53" s="2787"/>
      <c r="K53" s="2776"/>
      <c r="L53" s="1282"/>
      <c r="P53" s="2777"/>
      <c r="Q53" s="2777"/>
      <c r="R53" s="292"/>
      <c r="S53" s="2825"/>
      <c r="T53" s="2828"/>
      <c r="U53" s="236"/>
      <c r="V53" s="1311"/>
      <c r="W53" s="1414"/>
      <c r="X53" s="1311"/>
      <c r="Y53" s="1311"/>
      <c r="Z53" s="1311"/>
      <c r="AA53" s="1311"/>
      <c r="AB53" s="2619"/>
      <c r="AC53" s="2809"/>
      <c r="AD53" s="2720"/>
      <c r="AE53" s="2831"/>
      <c r="AF53" s="2619"/>
      <c r="AG53" s="230"/>
      <c r="AH53" s="350"/>
      <c r="AI53" s="350" t="s">
        <v>468</v>
      </c>
      <c r="AJ53" s="1311"/>
      <c r="AK53" s="1311"/>
      <c r="AL53" s="1311"/>
      <c r="AM53" s="1311"/>
      <c r="AN53" s="1311"/>
      <c r="AO53" s="1414"/>
      <c r="AP53" s="1311"/>
      <c r="AQ53" s="1311"/>
      <c r="AR53" s="1311"/>
      <c r="AS53" s="1311"/>
      <c r="AT53" s="1308"/>
      <c r="AU53" s="2774"/>
      <c r="AW53" s="435"/>
      <c r="AX53" s="435"/>
      <c r="AY53" s="435"/>
      <c r="AZ53" s="435"/>
      <c r="BA53" s="1073">
        <v>11</v>
      </c>
    </row>
    <row r="54" spans="1:53" ht="11.45" customHeight="1">
      <c r="A54" s="1281" t="s">
        <v>202</v>
      </c>
      <c r="B54" s="1281" t="s">
        <v>203</v>
      </c>
      <c r="C54" s="1281" t="s">
        <v>204</v>
      </c>
      <c r="D54" s="1281" t="s">
        <v>205</v>
      </c>
      <c r="E54" s="2779"/>
      <c r="F54" s="2779"/>
      <c r="G54" s="2779"/>
      <c r="H54" s="2779"/>
      <c r="I54" s="2787"/>
      <c r="J54" s="2787"/>
      <c r="K54" s="2776"/>
      <c r="L54" s="1282"/>
      <c r="P54" s="2777"/>
      <c r="Q54" s="2777"/>
      <c r="R54" s="292"/>
      <c r="S54" s="2826"/>
      <c r="T54" s="2829"/>
      <c r="U54" s="236"/>
      <c r="V54" s="1311"/>
      <c r="W54" s="1312" t="str">
        <f>X51&amp;"-"&amp;Z51</f>
        <v>-</v>
      </c>
      <c r="X54" s="1311"/>
      <c r="Y54" s="1311"/>
      <c r="Z54" s="1311"/>
      <c r="AA54" s="1311"/>
      <c r="AB54" s="2619"/>
      <c r="AC54" s="248"/>
      <c r="AD54" s="250"/>
      <c r="AE54" s="350" t="s">
        <v>469</v>
      </c>
      <c r="AF54" s="1311"/>
      <c r="AG54" s="1311"/>
      <c r="AH54" s="1311"/>
      <c r="AI54" s="1311"/>
      <c r="AJ54" s="1311"/>
      <c r="AK54" s="1311"/>
      <c r="AL54" s="1311"/>
      <c r="AM54" s="1311"/>
      <c r="AN54" s="1311"/>
      <c r="AO54" s="1312" t="str">
        <f>AP51&amp;"-"&amp;AR51</f>
        <v>-</v>
      </c>
      <c r="AP54" s="1311"/>
      <c r="AQ54" s="1311"/>
      <c r="AR54" s="1311"/>
      <c r="AS54" s="1311"/>
      <c r="AT54" s="1267"/>
      <c r="AU54" s="2774"/>
      <c r="AW54" s="435"/>
      <c r="AX54" s="435" t="str">
        <f t="shared" ref="AX54:AX62" si="3">IF(T54="","",T54)</f>
        <v/>
      </c>
      <c r="AY54" s="435"/>
      <c r="AZ54" s="435"/>
      <c r="BA54" s="1073">
        <v>11</v>
      </c>
    </row>
    <row r="55" spans="1:53" ht="11.45" customHeight="1">
      <c r="A55" s="1281" t="s">
        <v>202</v>
      </c>
      <c r="B55" s="1281" t="s">
        <v>203</v>
      </c>
      <c r="C55" s="1281" t="s">
        <v>204</v>
      </c>
      <c r="D55" s="1281" t="s">
        <v>205</v>
      </c>
      <c r="E55" s="2779"/>
      <c r="F55" s="2779"/>
      <c r="G55" s="2779"/>
      <c r="H55" s="2779"/>
      <c r="I55" s="2787"/>
      <c r="J55" s="2776"/>
      <c r="K55" s="1281"/>
      <c r="L55" s="1282"/>
      <c r="P55" s="2777"/>
      <c r="Q55" s="2777"/>
      <c r="R55" s="291"/>
      <c r="S55" s="1196"/>
      <c r="T55" s="223" t="s">
        <v>470</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775"/>
      <c r="AW55" s="435"/>
      <c r="AX55" s="435" t="str">
        <f t="shared" si="3"/>
        <v>Добавить строку</v>
      </c>
      <c r="AY55" s="435"/>
      <c r="AZ55" s="435"/>
      <c r="BA55" s="1073">
        <v>11</v>
      </c>
    </row>
    <row r="56" spans="1:53" s="2520" customFormat="1" ht="1.1499999999999999" customHeight="1">
      <c r="A56" s="1261" t="s">
        <v>202</v>
      </c>
      <c r="B56" s="1261" t="s">
        <v>203</v>
      </c>
      <c r="C56" s="1261" t="s">
        <v>204</v>
      </c>
      <c r="D56" s="1261" t="s">
        <v>205</v>
      </c>
      <c r="E56" s="2779"/>
      <c r="F56" s="2779"/>
      <c r="G56" s="2779"/>
      <c r="H56" s="2779"/>
      <c r="I56" s="2776"/>
      <c r="J56" s="1261"/>
      <c r="K56" s="1261"/>
      <c r="L56" s="1264"/>
      <c r="M56" s="445"/>
      <c r="N56" s="445"/>
      <c r="O56" s="445"/>
      <c r="P56" s="2777"/>
      <c r="Q56" s="1249"/>
      <c r="R56" s="291"/>
      <c r="S56" s="1304"/>
      <c r="T56" s="1305" t="s">
        <v>414</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544" customFormat="1" ht="1.1499999999999999" customHeight="1">
      <c r="A57" s="1261" t="s">
        <v>202</v>
      </c>
      <c r="B57" s="1261" t="s">
        <v>203</v>
      </c>
      <c r="C57" s="1261" t="s">
        <v>204</v>
      </c>
      <c r="D57" s="1261" t="s">
        <v>205</v>
      </c>
      <c r="E57" s="2779"/>
      <c r="F57" s="2779"/>
      <c r="G57" s="2779"/>
      <c r="H57" s="2778"/>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520" customFormat="1" ht="1.1499999999999999" customHeight="1">
      <c r="A58" s="1261" t="s">
        <v>202</v>
      </c>
      <c r="B58" s="1261" t="s">
        <v>203</v>
      </c>
      <c r="C58" s="1261" t="s">
        <v>204</v>
      </c>
      <c r="D58" s="1232"/>
      <c r="E58" s="2779"/>
      <c r="F58" s="2779"/>
      <c r="G58" s="2778"/>
      <c r="H58" s="1232"/>
      <c r="I58" s="1232"/>
      <c r="J58" s="1232"/>
      <c r="K58" s="1232"/>
      <c r="L58" s="1257"/>
      <c r="M58" s="1233"/>
      <c r="N58" s="1233"/>
      <c r="P58" s="1234"/>
      <c r="Q58" s="1235"/>
      <c r="R58" s="1234"/>
      <c r="S58" s="1240"/>
      <c r="T58" s="1243" t="s">
        <v>160</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520" customFormat="1" ht="1.1499999999999999" customHeight="1">
      <c r="A59" s="1261" t="s">
        <v>202</v>
      </c>
      <c r="B59" s="1261" t="s">
        <v>203</v>
      </c>
      <c r="C59" s="1232"/>
      <c r="D59" s="1232"/>
      <c r="E59" s="2779"/>
      <c r="F59" s="2778"/>
      <c r="G59" s="1232"/>
      <c r="H59" s="1232"/>
      <c r="I59" s="1232"/>
      <c r="J59" s="1232"/>
      <c r="K59" s="1232"/>
      <c r="L59" s="1257"/>
      <c r="M59" s="1239"/>
      <c r="N59" s="1239"/>
      <c r="P59" s="1234"/>
      <c r="Q59" s="1235"/>
      <c r="R59" s="1234"/>
      <c r="S59" s="1240"/>
      <c r="T59" s="1243" t="s">
        <v>161</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520" customFormat="1" ht="1.1499999999999999" customHeight="1">
      <c r="A60" s="1261" t="s">
        <v>202</v>
      </c>
      <c r="B60" s="1261"/>
      <c r="C60" s="1261"/>
      <c r="D60" s="1261"/>
      <c r="E60" s="2779"/>
      <c r="F60" s="1261"/>
      <c r="G60" s="1261"/>
      <c r="H60" s="1261"/>
      <c r="I60" s="1261"/>
      <c r="J60" s="1261"/>
      <c r="K60" s="1261"/>
      <c r="L60" s="1264"/>
      <c r="M60" s="1239"/>
      <c r="N60" s="1239"/>
      <c r="O60" s="453"/>
      <c r="P60" s="315"/>
      <c r="Q60" s="1262"/>
      <c r="R60" s="315"/>
      <c r="S60" s="1240"/>
      <c r="T60" s="1243" t="s">
        <v>162</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520" customFormat="1" ht="1.1499999999999999" customHeight="1">
      <c r="A61" s="1261" t="s">
        <v>202</v>
      </c>
      <c r="B61" s="1261"/>
      <c r="C61" s="1261"/>
      <c r="D61" s="1261"/>
      <c r="E61" s="2778"/>
      <c r="F61" s="1261"/>
      <c r="G61" s="1261"/>
      <c r="H61" s="1261"/>
      <c r="I61" s="1261"/>
      <c r="J61" s="1261"/>
      <c r="K61" s="1261"/>
      <c r="L61" s="1264"/>
      <c r="M61" s="1239"/>
      <c r="N61" s="1239"/>
      <c r="O61" s="453"/>
      <c r="P61" s="315"/>
      <c r="Q61" s="1262"/>
      <c r="R61" s="315"/>
      <c r="S61" s="1240"/>
      <c r="T61" s="1243" t="s">
        <v>162</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520"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163</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786"/>
      <c r="U64" s="2786"/>
      <c r="V64" s="2786"/>
      <c r="W64" s="2786"/>
      <c r="X64" s="2786"/>
      <c r="Y64" s="2786"/>
      <c r="Z64" s="2786"/>
      <c r="AA64" s="2786"/>
      <c r="AB64" s="2786"/>
      <c r="AC64" s="2786"/>
      <c r="AD64" s="2786"/>
      <c r="AE64" s="2786"/>
      <c r="AF64" s="2786"/>
      <c r="AG64" s="2786"/>
      <c r="AH64" s="2786"/>
      <c r="AI64" s="2786"/>
      <c r="AJ64" s="2786"/>
      <c r="AK64" s="2786"/>
      <c r="AL64" s="2786"/>
      <c r="AM64" s="2786"/>
      <c r="AN64" s="2786"/>
      <c r="AO64" s="2786"/>
      <c r="AP64" s="2786"/>
      <c r="AQ64" s="2786"/>
      <c r="AR64" s="2786"/>
      <c r="AS64" s="2786"/>
      <c r="AT64" s="2786"/>
      <c r="AU64" s="2786"/>
      <c r="BA64" s="1073">
        <v>19</v>
      </c>
    </row>
    <row r="65" spans="1:53" ht="21" customHeight="1">
      <c r="O65" s="472"/>
      <c r="T65" s="2786"/>
      <c r="U65" s="2786"/>
      <c r="V65" s="2786"/>
      <c r="W65" s="2786"/>
      <c r="X65" s="2786"/>
      <c r="Y65" s="2786"/>
      <c r="Z65" s="2786"/>
      <c r="AA65" s="2786"/>
      <c r="AB65" s="2786"/>
      <c r="AC65" s="2786"/>
      <c r="AD65" s="2786"/>
      <c r="AE65" s="2786"/>
      <c r="AF65" s="2786"/>
      <c r="AG65" s="2786"/>
      <c r="AH65" s="2786"/>
      <c r="AI65" s="2786"/>
      <c r="AJ65" s="2786"/>
      <c r="AK65" s="2786"/>
      <c r="AL65" s="2786"/>
      <c r="AM65" s="2786"/>
      <c r="AN65" s="2786"/>
      <c r="AO65" s="2786"/>
      <c r="AP65" s="2786"/>
      <c r="AQ65" s="2786"/>
      <c r="AR65" s="2786"/>
      <c r="AS65" s="2786"/>
      <c r="AT65" s="2786"/>
      <c r="AU65" s="2786"/>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786"/>
      <c r="U67" s="2786"/>
      <c r="V67" s="2786"/>
      <c r="W67" s="2786"/>
      <c r="X67" s="2786"/>
      <c r="Y67" s="2786"/>
      <c r="Z67" s="2786"/>
      <c r="AA67" s="2786"/>
      <c r="AB67" s="2786"/>
      <c r="AC67" s="2786"/>
      <c r="AD67" s="2786"/>
      <c r="AE67" s="2786"/>
      <c r="AF67" s="2786"/>
      <c r="AG67" s="2786"/>
      <c r="AH67" s="2786"/>
      <c r="AI67" s="2786"/>
      <c r="AJ67" s="2786"/>
      <c r="AK67" s="2786"/>
      <c r="AL67" s="2786"/>
      <c r="AM67" s="2786"/>
      <c r="AN67" s="2786"/>
      <c r="AO67" s="2786"/>
      <c r="AP67" s="2786"/>
      <c r="AQ67" s="2786"/>
      <c r="AR67" s="2786"/>
      <c r="AS67" s="2786"/>
      <c r="AT67" s="2786"/>
      <c r="AU67" s="2786"/>
      <c r="BA67" s="1073">
        <v>19</v>
      </c>
    </row>
    <row r="68" spans="1:53" ht="16.899999999999999" customHeight="1">
      <c r="O68" s="472"/>
      <c r="T68" s="2786"/>
      <c r="U68" s="2786"/>
      <c r="V68" s="2786"/>
      <c r="W68" s="2786"/>
      <c r="X68" s="2786"/>
      <c r="Y68" s="2786"/>
      <c r="Z68" s="2786"/>
      <c r="AA68" s="2786"/>
      <c r="AB68" s="2786"/>
      <c r="AC68" s="2786"/>
      <c r="AD68" s="2786"/>
      <c r="AE68" s="2786"/>
      <c r="AF68" s="2786"/>
      <c r="AG68" s="2786"/>
      <c r="AH68" s="2786"/>
      <c r="AI68" s="2786"/>
      <c r="AJ68" s="2786"/>
      <c r="AK68" s="2786"/>
      <c r="AL68" s="2786"/>
      <c r="AM68" s="2786"/>
      <c r="AN68" s="2786"/>
      <c r="AO68" s="2786"/>
      <c r="AP68" s="2786"/>
      <c r="AQ68" s="2786"/>
      <c r="AR68" s="2786"/>
      <c r="AS68" s="2786"/>
      <c r="AT68" s="2786"/>
      <c r="AU68" s="2786"/>
      <c r="BA68" s="1073">
        <v>16</v>
      </c>
    </row>
    <row r="69" spans="1:53" ht="14.65" customHeight="1">
      <c r="O69" s="472"/>
      <c r="BA69" s="1073">
        <v>14</v>
      </c>
    </row>
    <row r="70" spans="1:53" ht="22.5" hidden="1" customHeight="1">
      <c r="A70" s="1078" t="s">
        <v>81</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519" hidden="1"/>
    <col min="2" max="2" width="11" style="2519" hidden="1" customWidth="1"/>
    <col min="3" max="3" width="10.5703125" style="2519" hidden="1"/>
    <col min="4" max="4" width="11.85546875" style="2519" hidden="1" customWidth="1"/>
    <col min="5" max="5" width="10" style="2519" hidden="1" customWidth="1"/>
    <col min="6" max="6" width="8.7109375" style="2519" hidden="1" customWidth="1"/>
    <col min="7" max="7" width="7.5703125" style="2519" hidden="1" customWidth="1"/>
    <col min="8" max="8" width="11.42578125" style="2519" hidden="1" customWidth="1"/>
    <col min="9" max="9" width="14.140625" style="2519" hidden="1" customWidth="1"/>
    <col min="10" max="10" width="9.85546875" style="2519" hidden="1" customWidth="1"/>
    <col min="11" max="11" width="14.7109375" style="2519" hidden="1" customWidth="1"/>
    <col min="12" max="12" width="19.140625" style="2545" hidden="1" customWidth="1"/>
    <col min="13" max="14" width="12.28515625" style="2546" hidden="1" customWidth="1"/>
    <col min="15" max="15" width="23.42578125" style="2546" hidden="1" customWidth="1"/>
    <col min="16" max="16" width="3" style="2547" customWidth="1"/>
    <col min="17" max="18" width="3" style="2548" customWidth="1"/>
    <col min="19" max="19" width="12" style="2549" customWidth="1"/>
    <col min="20" max="20" width="35" style="2513" customWidth="1"/>
    <col min="21" max="21" width="0.140625" style="2513" customWidth="1"/>
    <col min="22" max="24" width="24.7109375" style="2513" hidden="1" customWidth="1"/>
    <col min="25" max="25" width="11.7109375" style="2513" hidden="1" customWidth="1"/>
    <col min="26" max="26" width="3.7109375" style="2513" hidden="1" customWidth="1"/>
    <col min="27" max="27" width="11.7109375" style="2513" hidden="1" customWidth="1"/>
    <col min="28" max="28" width="8.5703125" style="2513" hidden="1" customWidth="1"/>
    <col min="29" max="29" width="24.7109375" style="2513" customWidth="1"/>
    <col min="30" max="31" width="24" style="2513" customWidth="1"/>
    <col min="32" max="32" width="11" style="2513" customWidth="1"/>
    <col min="33" max="33" width="3.7109375" style="2513" customWidth="1"/>
    <col min="34" max="34" width="11" style="2513" customWidth="1"/>
    <col min="35" max="35" width="8.5703125" style="2513" hidden="1" customWidth="1"/>
    <col min="36" max="36" width="4" style="2513" customWidth="1"/>
    <col min="37" max="37" width="115" style="2513" customWidth="1"/>
    <col min="38" max="42" width="10" style="2520" customWidth="1"/>
    <col min="43" max="43" width="10.5703125" style="2513" hidden="1"/>
  </cols>
  <sheetData>
    <row r="1" spans="1:43" ht="22.5" hidden="1" customHeight="1">
      <c r="X1" s="263"/>
      <c r="Y1" s="263"/>
      <c r="AE1" s="263"/>
      <c r="AF1" s="263"/>
      <c r="AQ1" s="1073" t="s">
        <v>14</v>
      </c>
    </row>
    <row r="2" spans="1:43" ht="23.25" hidden="1" customHeight="1">
      <c r="A2" s="1281"/>
      <c r="B2" s="1281"/>
      <c r="C2" s="1281"/>
      <c r="D2" s="1281"/>
      <c r="E2" s="2778">
        <v>1</v>
      </c>
      <c r="F2" s="1281"/>
      <c r="G2" s="1281"/>
      <c r="H2" s="1281"/>
      <c r="I2" s="1281"/>
      <c r="J2" s="1281"/>
      <c r="K2" s="1281"/>
      <c r="L2" s="1282"/>
      <c r="M2" s="1283"/>
      <c r="N2" s="1283"/>
      <c r="O2" s="1283"/>
      <c r="P2" s="296"/>
      <c r="Q2" s="295"/>
      <c r="R2" s="290"/>
      <c r="S2" s="1343" t="e">
        <f>INDEX(PT_DIFFERENTIATION_NUM_NTAR,MATCH(A2,PT_DIFFERENTIATION_NTAR_ID,0))</f>
        <v>#N/A</v>
      </c>
      <c r="T2" s="234" t="s">
        <v>122</v>
      </c>
      <c r="U2" s="236"/>
      <c r="V2" s="2766"/>
      <c r="W2" s="2767"/>
      <c r="X2" s="2767"/>
      <c r="Y2" s="2767"/>
      <c r="Z2" s="2767"/>
      <c r="AA2" s="2767"/>
      <c r="AB2" s="2768"/>
      <c r="AC2" s="2766" t="e">
        <f>INDEX(PT_DIFFERENTIATION_NTAR,MATCH(A2,PT_DIFFERENTIATION_NTAR_ID,0))</f>
        <v>#N/A</v>
      </c>
      <c r="AD2" s="2767"/>
      <c r="AE2" s="2767"/>
      <c r="AF2" s="2767"/>
      <c r="AG2" s="2767"/>
      <c r="AH2" s="2767"/>
      <c r="AI2" s="2767"/>
      <c r="AJ2" s="276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779"/>
      <c r="F3" s="2778">
        <v>1</v>
      </c>
      <c r="G3" s="1281"/>
      <c r="H3" s="1281"/>
      <c r="I3" s="1281"/>
      <c r="J3" s="1281"/>
      <c r="K3" s="1281"/>
      <c r="L3" s="1282"/>
      <c r="M3" s="1283"/>
      <c r="N3" s="1283"/>
      <c r="O3" s="1283"/>
      <c r="P3" s="1341"/>
      <c r="Q3" s="287"/>
      <c r="R3" s="288"/>
      <c r="S3" s="1343" t="e">
        <f>INDEX(PT_DIFFERENTIATION_NUM_TER,MATCH(B3,PT_DIFFERENTIATION_TER_ID,0))</f>
        <v>#N/A</v>
      </c>
      <c r="T3" s="244" t="s">
        <v>399</v>
      </c>
      <c r="U3" s="236"/>
      <c r="V3" s="2766"/>
      <c r="W3" s="2767"/>
      <c r="X3" s="2767"/>
      <c r="Y3" s="2767"/>
      <c r="Z3" s="2767"/>
      <c r="AA3" s="2767"/>
      <c r="AB3" s="2768"/>
      <c r="AC3" s="2766" t="e">
        <f>INDEX(PT_DIFFERENTIATION_TER,MATCH(B3,PT_DIFFERENTIATION_TER_ID,0))</f>
        <v>#N/A</v>
      </c>
      <c r="AD3" s="2767"/>
      <c r="AE3" s="2767"/>
      <c r="AF3" s="2767"/>
      <c r="AG3" s="2767"/>
      <c r="AH3" s="2767"/>
      <c r="AI3" s="2767"/>
      <c r="AJ3" s="2768"/>
      <c r="AK3" s="1176" t="s">
        <v>400</v>
      </c>
      <c r="AM3" s="435"/>
      <c r="AN3" s="435" t="str">
        <f t="shared" si="0"/>
        <v>Территория действия тарифа</v>
      </c>
      <c r="AO3" s="435"/>
      <c r="AP3" s="435"/>
      <c r="AQ3" s="1073">
        <v>0</v>
      </c>
    </row>
    <row r="4" spans="1:43" ht="23.25" hidden="1" customHeight="1">
      <c r="A4" s="1281"/>
      <c r="B4" s="1281"/>
      <c r="C4" s="1281"/>
      <c r="D4" s="1281"/>
      <c r="E4" s="2779"/>
      <c r="F4" s="2779"/>
      <c r="G4" s="2778">
        <v>1</v>
      </c>
      <c r="H4" s="1281"/>
      <c r="I4" s="1281"/>
      <c r="J4" s="1281"/>
      <c r="K4" s="1281"/>
      <c r="L4" s="1282"/>
      <c r="M4" s="1283"/>
      <c r="N4" s="1283"/>
      <c r="O4" s="1283"/>
      <c r="P4" s="289"/>
      <c r="Q4" s="287"/>
      <c r="R4" s="288"/>
      <c r="S4" s="1343" t="e">
        <f>INDEX(PT_DIFFERENTIATION_NUM_CS,MATCH(C4,PT_DIFFERENTIATION_CS_ID,0))</f>
        <v>#N/A</v>
      </c>
      <c r="T4" s="245" t="s">
        <v>483</v>
      </c>
      <c r="U4" s="236"/>
      <c r="V4" s="2766"/>
      <c r="W4" s="2767"/>
      <c r="X4" s="2767"/>
      <c r="Y4" s="2767"/>
      <c r="Z4" s="2767"/>
      <c r="AA4" s="2767"/>
      <c r="AB4" s="2768"/>
      <c r="AC4" s="2766" t="e">
        <f>INDEX(PT_DIFFERENTIATION_CS,MATCH(C4,PT_DIFFERENTIATION_CS_ID,0))</f>
        <v>#N/A</v>
      </c>
      <c r="AD4" s="2767"/>
      <c r="AE4" s="2767"/>
      <c r="AF4" s="2767"/>
      <c r="AG4" s="2767"/>
      <c r="AH4" s="2767"/>
      <c r="AI4" s="2767"/>
      <c r="AJ4" s="2768"/>
      <c r="AK4" s="1176" t="s">
        <v>484</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779"/>
      <c r="F5" s="2779"/>
      <c r="G5" s="2779"/>
      <c r="H5" s="2779"/>
      <c r="I5" s="2776" t="e">
        <f>S4&amp;".1"</f>
        <v>#N/A</v>
      </c>
      <c r="J5" s="1281"/>
      <c r="K5" s="1281"/>
      <c r="L5" s="1282"/>
      <c r="P5" s="2777">
        <v>1</v>
      </c>
      <c r="Q5" s="1340"/>
      <c r="R5" s="291"/>
      <c r="S5" s="1343" t="e">
        <f>$I5</f>
        <v>#N/A</v>
      </c>
      <c r="T5" s="221" t="s">
        <v>485</v>
      </c>
      <c r="U5" s="236"/>
      <c r="V5" s="2833"/>
      <c r="W5" s="2834"/>
      <c r="X5" s="2834"/>
      <c r="Y5" s="2834"/>
      <c r="Z5" s="2834"/>
      <c r="AA5" s="2834"/>
      <c r="AB5" s="2835"/>
      <c r="AC5" s="2836"/>
      <c r="AD5" s="2837"/>
      <c r="AE5" s="2837"/>
      <c r="AF5" s="2837"/>
      <c r="AG5" s="2837"/>
      <c r="AH5" s="2837"/>
      <c r="AI5" s="2837"/>
      <c r="AJ5" s="2838"/>
      <c r="AK5" s="1176" t="s">
        <v>486</v>
      </c>
      <c r="AM5" s="435"/>
      <c r="AN5" s="435" t="str">
        <f t="shared" si="0"/>
        <v>Наименование признака дифференциации</v>
      </c>
      <c r="AO5" s="435"/>
      <c r="AP5" s="435"/>
      <c r="AQ5" s="1073">
        <v>0</v>
      </c>
    </row>
    <row r="6" spans="1:43" ht="23.25" hidden="1" customHeight="1">
      <c r="A6" s="1281"/>
      <c r="B6" s="1281"/>
      <c r="C6" s="1281"/>
      <c r="D6" s="1281"/>
      <c r="E6" s="2779"/>
      <c r="F6" s="2779"/>
      <c r="G6" s="2779"/>
      <c r="H6" s="2779"/>
      <c r="I6" s="2787"/>
      <c r="J6" s="2776" t="e">
        <f>I5&amp;".1"</f>
        <v>#N/A</v>
      </c>
      <c r="K6" s="1281"/>
      <c r="L6" s="1282" t="s">
        <v>408</v>
      </c>
      <c r="P6" s="2777"/>
      <c r="Q6" s="2777">
        <v>1</v>
      </c>
      <c r="R6" s="292"/>
      <c r="S6" s="1343" t="e">
        <f>$J6</f>
        <v>#N/A</v>
      </c>
      <c r="T6" s="222" t="s">
        <v>409</v>
      </c>
      <c r="U6" s="236"/>
      <c r="V6" s="2769"/>
      <c r="W6" s="2770"/>
      <c r="X6" s="2770"/>
      <c r="Y6" s="2770"/>
      <c r="Z6" s="2770"/>
      <c r="AA6" s="2770"/>
      <c r="AB6" s="2771"/>
      <c r="AC6" s="2769"/>
      <c r="AD6" s="2770"/>
      <c r="AE6" s="2770"/>
      <c r="AF6" s="2770"/>
      <c r="AG6" s="2770"/>
      <c r="AH6" s="2770"/>
      <c r="AI6" s="2770"/>
      <c r="AJ6" s="2771"/>
      <c r="AK6" s="1225" t="s">
        <v>487</v>
      </c>
      <c r="AM6" s="435"/>
      <c r="AN6" s="435" t="str">
        <f t="shared" si="0"/>
        <v>Группа потребителей</v>
      </c>
      <c r="AO6" s="435"/>
      <c r="AP6" s="435"/>
      <c r="AQ6" s="1073">
        <v>0</v>
      </c>
    </row>
    <row r="7" spans="1:43" ht="23.25" hidden="1" customHeight="1">
      <c r="A7" s="1281"/>
      <c r="B7" s="1281"/>
      <c r="C7" s="1281"/>
      <c r="D7" s="1281"/>
      <c r="E7" s="2779"/>
      <c r="F7" s="2779"/>
      <c r="G7" s="2779"/>
      <c r="H7" s="2779"/>
      <c r="I7" s="2787"/>
      <c r="J7" s="2787"/>
      <c r="K7" s="2776" t="e">
        <f>J6&amp;".1"</f>
        <v>#N/A</v>
      </c>
      <c r="L7" s="1282"/>
      <c r="P7" s="2777"/>
      <c r="Q7" s="2777"/>
      <c r="R7" s="292">
        <v>1</v>
      </c>
      <c r="S7" s="1343" t="e">
        <f>$K7</f>
        <v>#N/A</v>
      </c>
      <c r="T7" s="1355"/>
      <c r="U7" s="236"/>
      <c r="V7" s="686"/>
      <c r="W7" s="686"/>
      <c r="X7" s="1175"/>
      <c r="Y7" s="2753"/>
      <c r="Z7" s="2619" t="s">
        <v>66</v>
      </c>
      <c r="AA7" s="2753"/>
      <c r="AB7" s="2619" t="s">
        <v>66</v>
      </c>
      <c r="AC7" s="686"/>
      <c r="AD7" s="686"/>
      <c r="AE7" s="1175"/>
      <c r="AF7" s="2753"/>
      <c r="AG7" s="2619" t="s">
        <v>66</v>
      </c>
      <c r="AH7" s="2788"/>
      <c r="AI7" s="2619" t="s">
        <v>66</v>
      </c>
      <c r="AJ7" s="1356"/>
      <c r="AK7" s="28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779"/>
      <c r="F8" s="2779"/>
      <c r="G8" s="2779"/>
      <c r="H8" s="2779"/>
      <c r="I8" s="2787"/>
      <c r="J8" s="2787"/>
      <c r="K8" s="2776"/>
      <c r="L8" s="1282"/>
      <c r="P8" s="2777"/>
      <c r="Q8" s="2777"/>
      <c r="R8" s="292"/>
      <c r="S8" s="1342"/>
      <c r="T8" s="236"/>
      <c r="U8" s="236"/>
      <c r="V8" s="261"/>
      <c r="W8" s="261"/>
      <c r="X8" s="264" t="str">
        <f>Y7&amp;"-"&amp;AA7</f>
        <v>-</v>
      </c>
      <c r="Y8" s="2752"/>
      <c r="Z8" s="2619"/>
      <c r="AA8" s="2752"/>
      <c r="AB8" s="2619"/>
      <c r="AC8" s="261"/>
      <c r="AD8" s="261"/>
      <c r="AE8" s="264" t="str">
        <f>AF7&amp;"-"&amp;AH7</f>
        <v>-</v>
      </c>
      <c r="AF8" s="2752"/>
      <c r="AG8" s="2619"/>
      <c r="AH8" s="2789"/>
      <c r="AI8" s="2619"/>
      <c r="AJ8" s="1357"/>
      <c r="AK8" s="2832"/>
      <c r="AM8" s="435"/>
      <c r="AN8" s="435" t="str">
        <f t="shared" si="0"/>
        <v/>
      </c>
      <c r="AO8" s="435"/>
      <c r="AP8" s="435"/>
      <c r="AQ8" s="1073">
        <v>0</v>
      </c>
    </row>
    <row r="9" spans="1:43" ht="21" hidden="1" customHeight="1">
      <c r="A9" s="1281"/>
      <c r="B9" s="1281"/>
      <c r="C9" s="1281"/>
      <c r="D9" s="1281"/>
      <c r="E9" s="2779"/>
      <c r="F9" s="2779"/>
      <c r="G9" s="2779"/>
      <c r="H9" s="2779"/>
      <c r="I9" s="2787"/>
      <c r="J9" s="2776"/>
      <c r="K9" s="1281"/>
      <c r="L9" s="1282"/>
      <c r="P9" s="2777"/>
      <c r="Q9" s="2777"/>
      <c r="R9" s="291"/>
      <c r="S9" s="1196"/>
      <c r="T9" s="223" t="s">
        <v>488</v>
      </c>
      <c r="U9" s="302"/>
      <c r="V9" s="302"/>
      <c r="W9" s="302"/>
      <c r="X9" s="302"/>
      <c r="Y9" s="302"/>
      <c r="Z9" s="302"/>
      <c r="AA9" s="302"/>
      <c r="AB9" s="302"/>
      <c r="AC9" s="302"/>
      <c r="AD9" s="302"/>
      <c r="AE9" s="302"/>
      <c r="AF9" s="302"/>
      <c r="AG9" s="302"/>
      <c r="AH9" s="302"/>
      <c r="AI9" s="302"/>
      <c r="AJ9" s="302"/>
      <c r="AK9" s="1176" t="s">
        <v>489</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779"/>
      <c r="F10" s="2779"/>
      <c r="G10" s="2779"/>
      <c r="H10" s="2779"/>
      <c r="I10" s="2776"/>
      <c r="J10" s="1281"/>
      <c r="K10" s="1281"/>
      <c r="L10" s="1282"/>
      <c r="P10" s="2777"/>
      <c r="Q10" s="1340"/>
      <c r="R10" s="291"/>
      <c r="S10" s="1196"/>
      <c r="T10" s="300" t="s">
        <v>414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779"/>
      <c r="F11" s="2779"/>
      <c r="G11" s="2779"/>
      <c r="H11" s="2778"/>
      <c r="I11" s="1281"/>
      <c r="J11" s="1281"/>
      <c r="K11" s="1281"/>
      <c r="L11" s="1282"/>
      <c r="M11" s="1283"/>
      <c r="N11" s="1283"/>
      <c r="O11" s="472"/>
      <c r="P11" s="295"/>
      <c r="Q11" s="310"/>
      <c r="R11" s="290"/>
      <c r="S11" s="1196"/>
      <c r="T11" s="307" t="s">
        <v>490</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520" customFormat="1" ht="14.25" hidden="1" customHeight="1">
      <c r="A12" s="1261"/>
      <c r="B12" s="1261"/>
      <c r="C12" s="1232"/>
      <c r="D12" s="1232"/>
      <c r="E12" s="2779"/>
      <c r="F12" s="2778"/>
      <c r="G12" s="1232"/>
      <c r="H12" s="1232"/>
      <c r="I12" s="1232"/>
      <c r="J12" s="1232"/>
      <c r="K12" s="1232"/>
      <c r="L12" s="1344"/>
      <c r="M12" s="1239"/>
      <c r="N12" s="1239"/>
      <c r="P12" s="1234"/>
      <c r="Q12" s="1235"/>
      <c r="R12" s="1234"/>
      <c r="S12" s="1240"/>
      <c r="T12" s="1243" t="s">
        <v>161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520" customFormat="1" ht="14.25" hidden="1" customHeight="1">
      <c r="A13" s="1261"/>
      <c r="B13" s="1261"/>
      <c r="C13" s="1261"/>
      <c r="D13" s="1261"/>
      <c r="E13" s="2778"/>
      <c r="F13" s="1261"/>
      <c r="G13" s="1261"/>
      <c r="H13" s="1261"/>
      <c r="I13" s="1261"/>
      <c r="J13" s="1261"/>
      <c r="K13" s="1261"/>
      <c r="L13" s="1264"/>
      <c r="M13" s="1239"/>
      <c r="N13" s="1239"/>
      <c r="O13" s="453"/>
      <c r="P13" s="315"/>
      <c r="Q13" s="1262"/>
      <c r="R13" s="315"/>
      <c r="S13" s="1240"/>
      <c r="T13" s="1243" t="s">
        <v>162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780"/>
      <c r="AG15" s="2781" t="s">
        <v>66</v>
      </c>
      <c r="AH15" s="2780"/>
      <c r="AI15" s="2781" t="s">
        <v>66</v>
      </c>
      <c r="AQ15" s="1073">
        <v>0</v>
      </c>
    </row>
    <row r="16" spans="1:43" ht="14.25" hidden="1" customHeight="1">
      <c r="AC16" s="1278"/>
      <c r="AD16" s="1278"/>
      <c r="AE16" s="264" t="str">
        <f>AF15&amp;"-"&amp;AH15</f>
        <v>-</v>
      </c>
      <c r="AF16" s="2781"/>
      <c r="AG16" s="2781"/>
      <c r="AH16" s="2781"/>
      <c r="AI16" s="2781"/>
      <c r="AQ16" s="1073">
        <v>0</v>
      </c>
    </row>
    <row r="17" spans="1:43" ht="14.25" hidden="1" customHeight="1">
      <c r="AI17" s="263"/>
      <c r="AQ17" s="1073">
        <v>0</v>
      </c>
    </row>
    <row r="18" spans="1:43" s="2519" customFormat="1" ht="22.5" hidden="1" customHeight="1">
      <c r="L18" s="1339"/>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519"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519" customFormat="1" ht="12" hidden="1" customHeight="1">
      <c r="L20" s="1339"/>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74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49"/>
      <c r="U24" s="2749"/>
      <c r="V24" s="2749"/>
      <c r="W24" s="2749"/>
      <c r="X24" s="2749"/>
      <c r="Y24" s="2749"/>
      <c r="Z24" s="2749"/>
      <c r="AA24" s="2749"/>
      <c r="AB24" s="2749"/>
      <c r="AC24" s="2749"/>
      <c r="AD24" s="2749"/>
      <c r="AE24" s="2749"/>
      <c r="AF24" s="2749"/>
      <c r="AG24" s="2749"/>
      <c r="AH24" s="2749"/>
      <c r="AI24" s="1161"/>
      <c r="AQ24" s="1073">
        <v>14</v>
      </c>
    </row>
    <row r="25" spans="1:43" ht="14.65" customHeight="1">
      <c r="Q25" s="311"/>
      <c r="R25" s="311"/>
      <c r="S25" s="2696" t="str">
        <f>IF(org=0,"Не определено",org)</f>
        <v>ООО "Ноябрьская ПГЭ"</v>
      </c>
      <c r="T25" s="2696"/>
      <c r="U25" s="2696"/>
      <c r="V25" s="2696"/>
      <c r="W25" s="2696"/>
      <c r="X25" s="2696"/>
      <c r="Y25" s="2696"/>
      <c r="Z25" s="2696"/>
      <c r="AA25" s="2696"/>
      <c r="AB25" s="2696"/>
      <c r="AC25" s="2696"/>
      <c r="AD25" s="2696"/>
      <c r="AE25" s="2696"/>
      <c r="AF25" s="2696"/>
      <c r="AG25" s="2696"/>
      <c r="AH25" s="2696"/>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529" customFormat="1" ht="25.5" hidden="1" customHeight="1">
      <c r="A27" s="1286"/>
      <c r="B27" s="1286"/>
      <c r="C27" s="1286"/>
      <c r="D27" s="1286"/>
      <c r="E27" s="1286"/>
      <c r="F27" s="1286"/>
      <c r="G27" s="1286"/>
      <c r="H27" s="1286"/>
      <c r="I27" s="1286"/>
      <c r="J27" s="1286"/>
      <c r="K27" s="1286"/>
      <c r="L27" s="1287"/>
      <c r="M27" s="1286"/>
      <c r="N27" s="1286"/>
      <c r="O27" s="1286"/>
      <c r="S27" s="2772" t="s">
        <v>42</v>
      </c>
      <c r="T27" s="2772"/>
      <c r="U27" s="1290"/>
      <c r="V27" s="2754" t="str">
        <f>IF(TITLE_NAME_OR_PR_CHANGE="",IF(TITLE_NAME_OR_PR="","",TITLE_NAME_OR_PR),TITLE_NAME_OR_PR_CHANGE)</f>
        <v/>
      </c>
      <c r="W27" s="2754"/>
      <c r="X27" s="2754"/>
      <c r="Y27" s="2754"/>
      <c r="Z27" s="2754"/>
      <c r="AA27" s="2754"/>
      <c r="AB27" s="262"/>
      <c r="AC27" s="2754" t="str">
        <f>IF(TITLE_NAME_OR_PR_CHANGE="",IF(TITLE_NAME_OR_PR="","",TITLE_NAME_OR_PR),TITLE_NAME_OR_PR_CHANGE)</f>
        <v/>
      </c>
      <c r="AD27" s="2754"/>
      <c r="AE27" s="2754"/>
      <c r="AF27" s="2754"/>
      <c r="AG27" s="2754"/>
      <c r="AH27" s="2754"/>
      <c r="AI27" s="262"/>
      <c r="AJ27" s="262"/>
      <c r="AK27" s="216"/>
      <c r="AL27" s="303"/>
      <c r="AM27" s="303"/>
      <c r="AN27" s="303"/>
      <c r="AO27" s="303"/>
      <c r="AP27" s="303"/>
      <c r="AQ27" s="353">
        <v>0</v>
      </c>
    </row>
    <row r="28" spans="1:43" s="2529" customFormat="1" ht="18.75" hidden="1" customHeight="1">
      <c r="A28" s="1286"/>
      <c r="B28" s="1286"/>
      <c r="C28" s="1286"/>
      <c r="D28" s="1286"/>
      <c r="E28" s="1286"/>
      <c r="F28" s="1286"/>
      <c r="G28" s="1286"/>
      <c r="H28" s="1286"/>
      <c r="I28" s="1286"/>
      <c r="J28" s="1286"/>
      <c r="K28" s="1286"/>
      <c r="L28" s="1287"/>
      <c r="M28" s="1286"/>
      <c r="N28" s="1286"/>
      <c r="O28" s="1286"/>
      <c r="S28" s="2772" t="s">
        <v>422</v>
      </c>
      <c r="T28" s="2772"/>
      <c r="U28" s="1290"/>
      <c r="V28" s="2755">
        <f>IF(TITLE_DATE_PR_CHANGE="",IF(TITLE_DATE_PR="","",TITLE_DATE_PR),TITLE_DATE_PR_CHANGE)</f>
        <v>45583</v>
      </c>
      <c r="W28" s="2755"/>
      <c r="X28" s="2755"/>
      <c r="Y28" s="2755"/>
      <c r="Z28" s="2755"/>
      <c r="AA28" s="2755"/>
      <c r="AB28" s="262"/>
      <c r="AC28" s="2755">
        <f>IF(TITLE_DATE_PR_CHANGE="",IF(TITLE_DATE_PR="","",TITLE_DATE_PR),TITLE_DATE_PR_CHANGE)</f>
        <v>45583</v>
      </c>
      <c r="AD28" s="2755"/>
      <c r="AE28" s="2755"/>
      <c r="AF28" s="2755"/>
      <c r="AG28" s="2755"/>
      <c r="AH28" s="2755"/>
      <c r="AI28" s="262"/>
      <c r="AJ28" s="262"/>
      <c r="AK28" s="216"/>
      <c r="AL28" s="303"/>
      <c r="AM28" s="303"/>
      <c r="AN28" s="303"/>
      <c r="AO28" s="303"/>
      <c r="AP28" s="303"/>
      <c r="AQ28" s="353">
        <v>0</v>
      </c>
    </row>
    <row r="29" spans="1:43" s="2529" customFormat="1" ht="18.75" hidden="1" customHeight="1">
      <c r="A29" s="1286"/>
      <c r="B29" s="1286"/>
      <c r="C29" s="1286"/>
      <c r="D29" s="1286"/>
      <c r="E29" s="1286"/>
      <c r="F29" s="1286"/>
      <c r="G29" s="1286"/>
      <c r="H29" s="1286"/>
      <c r="I29" s="1286"/>
      <c r="J29" s="1286"/>
      <c r="K29" s="1286"/>
      <c r="L29" s="1287"/>
      <c r="M29" s="1286"/>
      <c r="N29" s="1286"/>
      <c r="O29" s="1286"/>
      <c r="S29" s="2772" t="s">
        <v>423</v>
      </c>
      <c r="T29" s="2772"/>
      <c r="U29" s="1290"/>
      <c r="V29" s="2754" t="str">
        <f>IF(TITLE_NUMBER_PR_CHANGE="",IF(TITLE_NUMBER_PR="","",TITLE_NUMBER_PR),TITLE_NUMBER_PR_CHANGE)</f>
        <v>18-3341</v>
      </c>
      <c r="W29" s="2754"/>
      <c r="X29" s="2754"/>
      <c r="Y29" s="2754"/>
      <c r="Z29" s="2754"/>
      <c r="AA29" s="2754"/>
      <c r="AB29" s="262"/>
      <c r="AC29" s="2754" t="str">
        <f>IF(TITLE_NUMBER_PR_CHANGE="",IF(TITLE_NUMBER_PR="","",TITLE_NUMBER_PR),TITLE_NUMBER_PR_CHANGE)</f>
        <v>18-3341</v>
      </c>
      <c r="AD29" s="2754"/>
      <c r="AE29" s="2754"/>
      <c r="AF29" s="2754"/>
      <c r="AG29" s="2754"/>
      <c r="AH29" s="2754"/>
      <c r="AI29" s="262"/>
      <c r="AJ29" s="262"/>
      <c r="AK29" s="216"/>
      <c r="AL29" s="303"/>
      <c r="AM29" s="303"/>
      <c r="AN29" s="303"/>
      <c r="AO29" s="303"/>
      <c r="AP29" s="303"/>
      <c r="AQ29" s="353">
        <v>0</v>
      </c>
    </row>
    <row r="30" spans="1:43" s="2529" customFormat="1" ht="18.75" hidden="1" customHeight="1">
      <c r="A30" s="1286"/>
      <c r="B30" s="1286"/>
      <c r="C30" s="1286"/>
      <c r="D30" s="1286"/>
      <c r="E30" s="1286"/>
      <c r="F30" s="1286"/>
      <c r="G30" s="1286"/>
      <c r="H30" s="1286"/>
      <c r="I30" s="1286"/>
      <c r="J30" s="1286"/>
      <c r="K30" s="1286"/>
      <c r="L30" s="1287"/>
      <c r="M30" s="1286"/>
      <c r="N30" s="1286"/>
      <c r="O30" s="1286"/>
      <c r="S30" s="2772" t="s">
        <v>43</v>
      </c>
      <c r="T30" s="2772"/>
      <c r="U30" s="1290"/>
      <c r="V30" s="2754" t="str">
        <f>IF(TITLE_IST_PUB_CHANGE="",IF(TITLE_IST_PUB="","",TITLE_IST_PUB),TITLE_IST_PUB_CHANGE)</f>
        <v/>
      </c>
      <c r="W30" s="2754"/>
      <c r="X30" s="2754"/>
      <c r="Y30" s="2754"/>
      <c r="Z30" s="2754"/>
      <c r="AA30" s="2754"/>
      <c r="AB30" s="262"/>
      <c r="AC30" s="2754" t="str">
        <f>IF(TITLE_IST_PUB_CHANGE="",IF(TITLE_IST_PUB="","",TITLE_IST_PUB),TITLE_IST_PUB_CHANGE)</f>
        <v/>
      </c>
      <c r="AD30" s="2754"/>
      <c r="AE30" s="2754"/>
      <c r="AF30" s="2754"/>
      <c r="AG30" s="2754"/>
      <c r="AH30" s="2754"/>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529" customFormat="1" ht="18.75" customHeight="1">
      <c r="A32" s="1286"/>
      <c r="B32" s="1286"/>
      <c r="C32" s="1286"/>
      <c r="D32" s="1286"/>
      <c r="E32" s="1286"/>
      <c r="F32" s="1286"/>
      <c r="G32" s="1286"/>
      <c r="H32" s="1286"/>
      <c r="I32" s="1286"/>
      <c r="J32" s="1286"/>
      <c r="K32" s="1286"/>
      <c r="L32" s="1287"/>
      <c r="M32" s="1286"/>
      <c r="N32" s="1286"/>
      <c r="O32" s="1286"/>
      <c r="S32" s="2772" t="s">
        <v>424</v>
      </c>
      <c r="T32" s="2772"/>
      <c r="U32" s="1290"/>
      <c r="V32" s="2755">
        <f>IF(TITLE_DATE_PR_CHANGE="",IF(TITLE_DATE_PR="","",TITLE_DATE_PR),TITLE_DATE_PR_CHANGE)</f>
        <v>45583</v>
      </c>
      <c r="W32" s="2755"/>
      <c r="X32" s="2755"/>
      <c r="Y32" s="2755"/>
      <c r="Z32" s="2755"/>
      <c r="AA32" s="2755"/>
      <c r="AB32" s="262"/>
      <c r="AC32" s="2755">
        <f>IF(TITLE_DATE_PR_CHANGE="",IF(TITLE_DATE_PR="","",TITLE_DATE_PR),TITLE_DATE_PR_CHANGE)</f>
        <v>45583</v>
      </c>
      <c r="AD32" s="2755"/>
      <c r="AE32" s="2755"/>
      <c r="AF32" s="2755"/>
      <c r="AG32" s="2755"/>
      <c r="AH32" s="2755"/>
      <c r="AI32" s="262"/>
      <c r="AJ32" s="262"/>
      <c r="AK32" s="216"/>
      <c r="AL32" s="303"/>
      <c r="AM32" s="303"/>
      <c r="AN32" s="303"/>
      <c r="AO32" s="303"/>
      <c r="AP32" s="303"/>
      <c r="AQ32" s="353">
        <v>0</v>
      </c>
    </row>
    <row r="33" spans="1:43" s="2529" customFormat="1" ht="18.75" customHeight="1">
      <c r="A33" s="1286"/>
      <c r="B33" s="1286"/>
      <c r="C33" s="1286"/>
      <c r="D33" s="1286"/>
      <c r="E33" s="1286"/>
      <c r="F33" s="1286"/>
      <c r="G33" s="1286"/>
      <c r="H33" s="1286"/>
      <c r="I33" s="1286"/>
      <c r="J33" s="1286"/>
      <c r="K33" s="1286"/>
      <c r="L33" s="1287"/>
      <c r="M33" s="1286"/>
      <c r="N33" s="1286"/>
      <c r="O33" s="1286"/>
      <c r="S33" s="2772" t="s">
        <v>425</v>
      </c>
      <c r="T33" s="2772"/>
      <c r="U33" s="1290"/>
      <c r="V33" s="2754" t="str">
        <f>IF(TITLE_NUMBER_PR_CHANGE="",IF(TITLE_NUMBER_PR="","",TITLE_NUMBER_PR),TITLE_NUMBER_PR_CHANGE)</f>
        <v>18-3341</v>
      </c>
      <c r="W33" s="2754"/>
      <c r="X33" s="2754"/>
      <c r="Y33" s="2754"/>
      <c r="Z33" s="2754"/>
      <c r="AA33" s="2754"/>
      <c r="AB33" s="262"/>
      <c r="AC33" s="2754" t="str">
        <f>IF(TITLE_NUMBER_PR_CHANGE="",IF(TITLE_NUMBER_PR="","",TITLE_NUMBER_PR),TITLE_NUMBER_PR_CHANGE)</f>
        <v>18-3341</v>
      </c>
      <c r="AD33" s="2754"/>
      <c r="AE33" s="2754"/>
      <c r="AF33" s="2754"/>
      <c r="AG33" s="2754"/>
      <c r="AH33" s="2754"/>
      <c r="AI33" s="262"/>
      <c r="AJ33" s="262"/>
      <c r="AK33" s="216"/>
      <c r="AL33" s="303"/>
      <c r="AM33" s="303"/>
      <c r="AN33" s="303"/>
      <c r="AO33" s="303"/>
      <c r="AP33" s="303"/>
      <c r="AQ33" s="353">
        <v>0</v>
      </c>
    </row>
    <row r="34" spans="1:43" s="2529"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756"/>
      <c r="W35" s="2756"/>
      <c r="X35" s="2756"/>
      <c r="Y35" s="2756"/>
      <c r="Z35" s="2756"/>
      <c r="AA35" s="2756"/>
      <c r="AB35" s="2756"/>
      <c r="AC35" s="2756"/>
      <c r="AD35" s="2756"/>
      <c r="AE35" s="2756"/>
      <c r="AF35" s="2756"/>
      <c r="AG35" s="2756"/>
      <c r="AH35" s="2756"/>
      <c r="AI35" s="2756"/>
      <c r="AQ35" s="1073">
        <v>14</v>
      </c>
    </row>
    <row r="36" spans="1:43" ht="14.65" customHeight="1">
      <c r="Q36" s="311"/>
      <c r="R36" s="311"/>
      <c r="S36" s="2638" t="s">
        <v>302</v>
      </c>
      <c r="T36" s="2638"/>
      <c r="U36" s="2638"/>
      <c r="V36" s="2638"/>
      <c r="W36" s="2638"/>
      <c r="X36" s="2638"/>
      <c r="Y36" s="2638"/>
      <c r="Z36" s="2638"/>
      <c r="AA36" s="2638"/>
      <c r="AB36" s="2638"/>
      <c r="AC36" s="2638"/>
      <c r="AD36" s="2638"/>
      <c r="AE36" s="2638"/>
      <c r="AF36" s="2638"/>
      <c r="AG36" s="2638"/>
      <c r="AH36" s="2638"/>
      <c r="AI36" s="2638"/>
      <c r="AJ36" s="2638"/>
      <c r="AK36" s="2638" t="s">
        <v>303</v>
      </c>
      <c r="AQ36" s="1073">
        <v>14</v>
      </c>
    </row>
    <row r="37" spans="1:43" ht="14.65" customHeight="1">
      <c r="Q37" s="311"/>
      <c r="R37" s="311"/>
      <c r="S37" s="2782" t="s">
        <v>87</v>
      </c>
      <c r="T37" s="2724" t="s">
        <v>428</v>
      </c>
      <c r="U37" s="237"/>
      <c r="V37" s="2757" t="s">
        <v>429</v>
      </c>
      <c r="W37" s="2758"/>
      <c r="X37" s="2758"/>
      <c r="Y37" s="2758"/>
      <c r="Z37" s="2758"/>
      <c r="AA37" s="2759"/>
      <c r="AB37" s="2760" t="s">
        <v>430</v>
      </c>
      <c r="AC37" s="2757" t="s">
        <v>429</v>
      </c>
      <c r="AD37" s="2758"/>
      <c r="AE37" s="2758"/>
      <c r="AF37" s="2758"/>
      <c r="AG37" s="2758"/>
      <c r="AH37" s="2759"/>
      <c r="AI37" s="2760" t="s">
        <v>431</v>
      </c>
      <c r="AJ37" s="2783" t="s">
        <v>432</v>
      </c>
      <c r="AK37" s="2638"/>
      <c r="AQ37" s="1073">
        <v>14</v>
      </c>
    </row>
    <row r="38" spans="1:43" ht="35.65" customHeight="1">
      <c r="Q38" s="311"/>
      <c r="R38" s="311"/>
      <c r="S38" s="2782"/>
      <c r="T38" s="2724"/>
      <c r="U38" s="953"/>
      <c r="V38" s="1270" t="s">
        <v>491</v>
      </c>
      <c r="W38" s="2610" t="s">
        <v>435</v>
      </c>
      <c r="X38" s="2609"/>
      <c r="Y38" s="2610" t="s">
        <v>436</v>
      </c>
      <c r="Z38" s="2615"/>
      <c r="AA38" s="2609"/>
      <c r="AB38" s="2761"/>
      <c r="AC38" s="1270" t="s">
        <v>491</v>
      </c>
      <c r="AD38" s="2610" t="s">
        <v>435</v>
      </c>
      <c r="AE38" s="2609"/>
      <c r="AF38" s="2610" t="s">
        <v>436</v>
      </c>
      <c r="AG38" s="2615"/>
      <c r="AH38" s="2609"/>
      <c r="AI38" s="2761"/>
      <c r="AJ38" s="2784"/>
      <c r="AK38" s="2638"/>
      <c r="AQ38" s="1073">
        <v>34</v>
      </c>
    </row>
    <row r="39" spans="1:43" ht="35.65" customHeight="1">
      <c r="A39" s="1288"/>
      <c r="B39" s="1288" t="s">
        <v>134</v>
      </c>
      <c r="C39" s="1288" t="s">
        <v>135</v>
      </c>
      <c r="D39" s="1288" t="s">
        <v>136</v>
      </c>
      <c r="E39" s="1282" t="s">
        <v>437</v>
      </c>
      <c r="F39" s="1282" t="s">
        <v>438</v>
      </c>
      <c r="G39" s="1282" t="s">
        <v>439</v>
      </c>
      <c r="H39" s="1282"/>
      <c r="I39" s="1282" t="s">
        <v>492</v>
      </c>
      <c r="J39" s="1282" t="s">
        <v>442</v>
      </c>
      <c r="K39" s="1282" t="s">
        <v>493</v>
      </c>
      <c r="L39" s="1282" t="s">
        <v>417</v>
      </c>
      <c r="Q39" s="311"/>
      <c r="R39" s="311"/>
      <c r="S39" s="2782"/>
      <c r="T39" s="2724"/>
      <c r="U39" s="238"/>
      <c r="V39" s="1270" t="s">
        <v>494</v>
      </c>
      <c r="W39" s="1140" t="s">
        <v>495</v>
      </c>
      <c r="X39" s="1140" t="s">
        <v>496</v>
      </c>
      <c r="Y39" s="1275" t="s">
        <v>446</v>
      </c>
      <c r="Z39" s="2733" t="s">
        <v>447</v>
      </c>
      <c r="AA39" s="2735"/>
      <c r="AB39" s="2762"/>
      <c r="AC39" s="1270" t="s">
        <v>494</v>
      </c>
      <c r="AD39" s="1140" t="s">
        <v>495</v>
      </c>
      <c r="AE39" s="1140" t="s">
        <v>496</v>
      </c>
      <c r="AF39" s="1275" t="s">
        <v>446</v>
      </c>
      <c r="AG39" s="2733" t="s">
        <v>447</v>
      </c>
      <c r="AH39" s="2735"/>
      <c r="AI39" s="2762"/>
      <c r="AJ39" s="2785"/>
      <c r="AK39" s="2638"/>
      <c r="AQ39" s="1073">
        <v>34</v>
      </c>
    </row>
    <row r="40" spans="1:43" s="2544"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108</v>
      </c>
      <c r="T40" s="1173" t="s">
        <v>109</v>
      </c>
      <c r="U40" s="1163" t="str">
        <f ca="1">OFFSET(U40,0,-1)</f>
        <v>2</v>
      </c>
      <c r="V40" s="1271">
        <f ca="1">OFFSET(V40,0,-1)+1</f>
        <v>3</v>
      </c>
      <c r="W40" s="1271">
        <f ca="1">OFFSET(W40,0,-1)+1</f>
        <v>4</v>
      </c>
      <c r="X40" s="1271">
        <f ca="1">OFFSET(X40,0,-1)+1</f>
        <v>5</v>
      </c>
      <c r="Y40" s="1271">
        <f ca="1">OFFSET(Y40,0,-1)+1</f>
        <v>6</v>
      </c>
      <c r="Z40" s="2765">
        <f ca="1">OFFSET(Z40,0,-1)+1</f>
        <v>7</v>
      </c>
      <c r="AA40" s="2765"/>
      <c r="AB40" s="1271">
        <f ca="1">OFFSET(AB40,0,-2)+1</f>
        <v>8</v>
      </c>
      <c r="AC40" s="1271">
        <f ca="1">OFFSET(AC40,0,-1)+1</f>
        <v>9</v>
      </c>
      <c r="AD40" s="1271">
        <f ca="1">OFFSET(AD40,0,-1)+1</f>
        <v>10</v>
      </c>
      <c r="AE40" s="1271">
        <f ca="1">OFFSET(AE40,0,-1)+1</f>
        <v>11</v>
      </c>
      <c r="AF40" s="1271">
        <f ca="1">OFFSET(AF40,0,-1)+1</f>
        <v>12</v>
      </c>
      <c r="AG40" s="2765">
        <f ca="1">OFFSET(AG40,0,-1)+1</f>
        <v>13</v>
      </c>
      <c r="AH40" s="2765"/>
      <c r="AI40" s="1271">
        <f ca="1">OFFSET(AI40,0,-2)+1</f>
        <v>14</v>
      </c>
      <c r="AJ40" s="1163">
        <f ca="1">OFFSET(AJ40,0,-1)</f>
        <v>14</v>
      </c>
      <c r="AK40" s="1271">
        <f ca="1">OFFSET(AK40,0,-1)+1</f>
        <v>15</v>
      </c>
      <c r="AL40" s="446"/>
      <c r="AM40" s="446"/>
      <c r="AN40" s="446"/>
      <c r="AO40" s="446"/>
      <c r="AP40" s="446"/>
      <c r="AQ40" s="431">
        <v>0</v>
      </c>
    </row>
    <row r="41" spans="1:43" ht="24" customHeight="1">
      <c r="A41" s="1281" t="s">
        <v>228</v>
      </c>
      <c r="B41" s="1281"/>
      <c r="C41" s="1281"/>
      <c r="D41" s="1281"/>
      <c r="E41" s="2778">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122</v>
      </c>
      <c r="U41" s="236"/>
      <c r="V41" s="2766"/>
      <c r="W41" s="2767"/>
      <c r="X41" s="2767"/>
      <c r="Y41" s="2767"/>
      <c r="Z41" s="2767"/>
      <c r="AA41" s="2767"/>
      <c r="AB41" s="2768"/>
      <c r="AC41" s="2766" t="str">
        <f>INDEX(PT_DIFFERENTIATION_NTAR,MATCH(A41,PT_DIFFERENTIATION_NTAR_ID,0))</f>
        <v/>
      </c>
      <c r="AD41" s="2767"/>
      <c r="AE41" s="2767"/>
      <c r="AF41" s="2767"/>
      <c r="AG41" s="2767"/>
      <c r="AH41" s="2767"/>
      <c r="AI41" s="2767"/>
      <c r="AJ41" s="276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228</v>
      </c>
      <c r="B42" s="1281" t="s">
        <v>229</v>
      </c>
      <c r="C42" s="1281"/>
      <c r="D42" s="1281"/>
      <c r="E42" s="2779"/>
      <c r="F42" s="2778">
        <v>1</v>
      </c>
      <c r="G42" s="1281"/>
      <c r="H42" s="1281"/>
      <c r="I42" s="1281"/>
      <c r="J42" s="1281"/>
      <c r="K42" s="1281"/>
      <c r="L42" s="1282"/>
      <c r="M42" s="1283"/>
      <c r="N42" s="1283"/>
      <c r="O42" s="1283"/>
      <c r="P42" s="1274"/>
      <c r="Q42" s="287"/>
      <c r="R42" s="288"/>
      <c r="S42" s="1276" t="str">
        <f>INDEX(PT_DIFFERENTIATION_NUM_TER,MATCH(B42,PT_DIFFERENTIATION_TER_ID,0))</f>
        <v>.</v>
      </c>
      <c r="T42" s="244" t="s">
        <v>399</v>
      </c>
      <c r="U42" s="236"/>
      <c r="V42" s="2766"/>
      <c r="W42" s="2767"/>
      <c r="X42" s="2767"/>
      <c r="Y42" s="2767"/>
      <c r="Z42" s="2767"/>
      <c r="AA42" s="2767"/>
      <c r="AB42" s="2768"/>
      <c r="AC42" s="2766" t="str">
        <f>INDEX(PT_DIFFERENTIATION_TER,MATCH(B42,PT_DIFFERENTIATION_TER_ID,0))</f>
        <v/>
      </c>
      <c r="AD42" s="2767"/>
      <c r="AE42" s="2767"/>
      <c r="AF42" s="2767"/>
      <c r="AG42" s="2767"/>
      <c r="AH42" s="2767"/>
      <c r="AI42" s="2767"/>
      <c r="AJ42" s="2768"/>
      <c r="AK42" s="1176" t="s">
        <v>400</v>
      </c>
      <c r="AM42" s="435"/>
      <c r="AN42" s="435" t="str">
        <f t="shared" si="1"/>
        <v>Территория действия тарифа</v>
      </c>
      <c r="AO42" s="435"/>
      <c r="AP42" s="435"/>
      <c r="AQ42" s="1073">
        <v>23</v>
      </c>
    </row>
    <row r="43" spans="1:43" ht="24" customHeight="1">
      <c r="A43" s="1281" t="s">
        <v>228</v>
      </c>
      <c r="B43" s="1281" t="s">
        <v>229</v>
      </c>
      <c r="C43" s="1281" t="s">
        <v>230</v>
      </c>
      <c r="D43" s="1281"/>
      <c r="E43" s="2779"/>
      <c r="F43" s="2779"/>
      <c r="G43" s="2778">
        <v>1</v>
      </c>
      <c r="H43" s="1281"/>
      <c r="I43" s="1281"/>
      <c r="J43" s="1281"/>
      <c r="K43" s="1281"/>
      <c r="L43" s="1282"/>
      <c r="M43" s="1283"/>
      <c r="N43" s="1283"/>
      <c r="O43" s="1283"/>
      <c r="P43" s="289"/>
      <c r="Q43" s="287"/>
      <c r="R43" s="288"/>
      <c r="S43" s="1276" t="str">
        <f>INDEX(PT_DIFFERENTIATION_NUM_CS,MATCH(C43,PT_DIFFERENTIATION_CS_ID,0))</f>
        <v>..</v>
      </c>
      <c r="T43" s="245" t="s">
        <v>483</v>
      </c>
      <c r="U43" s="236"/>
      <c r="V43" s="2766"/>
      <c r="W43" s="2767"/>
      <c r="X43" s="2767"/>
      <c r="Y43" s="2767"/>
      <c r="Z43" s="2767"/>
      <c r="AA43" s="2767"/>
      <c r="AB43" s="2768"/>
      <c r="AC43" s="2766" t="str">
        <f>INDEX(PT_DIFFERENTIATION_CS,MATCH(C43,PT_DIFFERENTIATION_CS_ID,0))</f>
        <v/>
      </c>
      <c r="AD43" s="2767"/>
      <c r="AE43" s="2767"/>
      <c r="AF43" s="2767"/>
      <c r="AG43" s="2767"/>
      <c r="AH43" s="2767"/>
      <c r="AI43" s="2767"/>
      <c r="AJ43" s="2768"/>
      <c r="AK43" s="1176" t="s">
        <v>484</v>
      </c>
      <c r="AM43" s="435"/>
      <c r="AN43" s="435" t="str">
        <f t="shared" si="1"/>
        <v>Наименование централизованной системы холодного водоснабжения</v>
      </c>
      <c r="AO43" s="435"/>
      <c r="AP43" s="435"/>
      <c r="AQ43" s="1073">
        <v>23</v>
      </c>
    </row>
    <row r="44" spans="1:43" ht="24" customHeight="1">
      <c r="A44" s="1281" t="s">
        <v>228</v>
      </c>
      <c r="B44" s="1281" t="s">
        <v>229</v>
      </c>
      <c r="C44" s="1281" t="s">
        <v>230</v>
      </c>
      <c r="D44" s="1281" t="s">
        <v>497</v>
      </c>
      <c r="E44" s="2779"/>
      <c r="F44" s="2779"/>
      <c r="G44" s="2779"/>
      <c r="H44" s="2779"/>
      <c r="I44" s="2776" t="str">
        <f>S43&amp;".1"</f>
        <v>...1</v>
      </c>
      <c r="J44" s="1281"/>
      <c r="K44" s="1281"/>
      <c r="L44" s="1282"/>
      <c r="P44" s="2777">
        <v>1</v>
      </c>
      <c r="Q44" s="1272"/>
      <c r="R44" s="291"/>
      <c r="S44" s="1276" t="str">
        <f>$I44</f>
        <v>...1</v>
      </c>
      <c r="T44" s="221" t="s">
        <v>485</v>
      </c>
      <c r="U44" s="236"/>
      <c r="V44" s="2833"/>
      <c r="W44" s="2834"/>
      <c r="X44" s="2834"/>
      <c r="Y44" s="2834"/>
      <c r="Z44" s="2834"/>
      <c r="AA44" s="2834"/>
      <c r="AB44" s="2835"/>
      <c r="AC44" s="2836"/>
      <c r="AD44" s="2837"/>
      <c r="AE44" s="2837"/>
      <c r="AF44" s="2837"/>
      <c r="AG44" s="2837"/>
      <c r="AH44" s="2837"/>
      <c r="AI44" s="2837"/>
      <c r="AJ44" s="2838"/>
      <c r="AK44" s="1176" t="s">
        <v>486</v>
      </c>
      <c r="AM44" s="435"/>
      <c r="AN44" s="435" t="str">
        <f t="shared" si="1"/>
        <v>Наименование признака дифференциации</v>
      </c>
      <c r="AO44" s="435"/>
      <c r="AP44" s="435"/>
      <c r="AQ44" s="1073">
        <v>23</v>
      </c>
    </row>
    <row r="45" spans="1:43" ht="24" customHeight="1">
      <c r="A45" s="1281" t="s">
        <v>228</v>
      </c>
      <c r="B45" s="1281" t="s">
        <v>229</v>
      </c>
      <c r="C45" s="1281" t="s">
        <v>230</v>
      </c>
      <c r="D45" s="1281" t="s">
        <v>497</v>
      </c>
      <c r="E45" s="2779"/>
      <c r="F45" s="2779"/>
      <c r="G45" s="2779"/>
      <c r="H45" s="2779"/>
      <c r="I45" s="2787"/>
      <c r="J45" s="2776" t="str">
        <f>I44&amp;".1"</f>
        <v>...1.1</v>
      </c>
      <c r="K45" s="1281"/>
      <c r="L45" s="1282" t="s">
        <v>408</v>
      </c>
      <c r="P45" s="2777"/>
      <c r="Q45" s="2777">
        <v>1</v>
      </c>
      <c r="R45" s="292"/>
      <c r="S45" s="1276" t="str">
        <f>$J45</f>
        <v>...1.1</v>
      </c>
      <c r="T45" s="222" t="s">
        <v>409</v>
      </c>
      <c r="U45" s="236"/>
      <c r="V45" s="2769"/>
      <c r="W45" s="2770"/>
      <c r="X45" s="2770"/>
      <c r="Y45" s="2770"/>
      <c r="Z45" s="2770"/>
      <c r="AA45" s="2770"/>
      <c r="AB45" s="2771"/>
      <c r="AC45" s="2769"/>
      <c r="AD45" s="2770"/>
      <c r="AE45" s="2770"/>
      <c r="AF45" s="2770"/>
      <c r="AG45" s="2770"/>
      <c r="AH45" s="2770"/>
      <c r="AI45" s="2770"/>
      <c r="AJ45" s="2771"/>
      <c r="AK45" s="1225" t="s">
        <v>487</v>
      </c>
      <c r="AM45" s="435"/>
      <c r="AN45" s="435" t="str">
        <f t="shared" si="1"/>
        <v>Группа потребителей</v>
      </c>
      <c r="AO45" s="435"/>
      <c r="AP45" s="435"/>
      <c r="AQ45" s="1073">
        <v>23</v>
      </c>
    </row>
    <row r="46" spans="1:43" ht="24" customHeight="1">
      <c r="A46" s="1281" t="s">
        <v>228</v>
      </c>
      <c r="B46" s="1281" t="s">
        <v>229</v>
      </c>
      <c r="C46" s="1281" t="s">
        <v>230</v>
      </c>
      <c r="D46" s="1281" t="s">
        <v>497</v>
      </c>
      <c r="E46" s="2779"/>
      <c r="F46" s="2779"/>
      <c r="G46" s="2779"/>
      <c r="H46" s="2779"/>
      <c r="I46" s="2787"/>
      <c r="J46" s="2787"/>
      <c r="K46" s="2776" t="str">
        <f>J45&amp;".1"</f>
        <v>...1.1.1</v>
      </c>
      <c r="L46" s="1282"/>
      <c r="P46" s="2777"/>
      <c r="Q46" s="2777"/>
      <c r="R46" s="292">
        <v>1</v>
      </c>
      <c r="S46" s="1276" t="str">
        <f>$K46</f>
        <v>...1.1.1</v>
      </c>
      <c r="T46" s="1355"/>
      <c r="U46" s="236"/>
      <c r="V46" s="1278"/>
      <c r="W46" s="1278"/>
      <c r="X46" s="1279"/>
      <c r="Y46" s="2780"/>
      <c r="Z46" s="2781" t="s">
        <v>66</v>
      </c>
      <c r="AA46" s="2780"/>
      <c r="AB46" s="2781" t="s">
        <v>66</v>
      </c>
      <c r="AC46" s="686"/>
      <c r="AD46" s="686"/>
      <c r="AE46" s="1175"/>
      <c r="AF46" s="2753"/>
      <c r="AG46" s="2619" t="s">
        <v>66</v>
      </c>
      <c r="AH46" s="2788"/>
      <c r="AI46" s="2619" t="s">
        <v>19</v>
      </c>
      <c r="AJ46" s="1356"/>
      <c r="AK46" s="28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228</v>
      </c>
      <c r="B47" s="1281" t="s">
        <v>229</v>
      </c>
      <c r="C47" s="1281" t="s">
        <v>230</v>
      </c>
      <c r="D47" s="1281" t="s">
        <v>497</v>
      </c>
      <c r="E47" s="2779"/>
      <c r="F47" s="2779"/>
      <c r="G47" s="2779"/>
      <c r="H47" s="2779"/>
      <c r="I47" s="2787"/>
      <c r="J47" s="2787"/>
      <c r="K47" s="2776"/>
      <c r="L47" s="1282"/>
      <c r="P47" s="2777"/>
      <c r="Q47" s="2777"/>
      <c r="R47" s="292"/>
      <c r="S47" s="1277"/>
      <c r="T47" s="236"/>
      <c r="U47" s="236"/>
      <c r="V47" s="1278"/>
      <c r="W47" s="1278"/>
      <c r="X47" s="264" t="str">
        <f>Y46&amp;"-"&amp;AA46</f>
        <v>-</v>
      </c>
      <c r="Y47" s="2781"/>
      <c r="Z47" s="2781"/>
      <c r="AA47" s="2781"/>
      <c r="AB47" s="2781"/>
      <c r="AC47" s="261"/>
      <c r="AD47" s="261"/>
      <c r="AE47" s="264" t="str">
        <f>AF46&amp;"-"&amp;AH46</f>
        <v>-</v>
      </c>
      <c r="AF47" s="2752"/>
      <c r="AG47" s="2619"/>
      <c r="AH47" s="2789"/>
      <c r="AI47" s="2619"/>
      <c r="AJ47" s="1357"/>
      <c r="AK47" s="2832"/>
      <c r="AM47" s="435"/>
      <c r="AN47" s="435" t="str">
        <f t="shared" si="1"/>
        <v/>
      </c>
      <c r="AO47" s="435"/>
      <c r="AP47" s="435"/>
      <c r="AQ47" s="1073">
        <v>0</v>
      </c>
    </row>
    <row r="48" spans="1:43" ht="21" customHeight="1">
      <c r="A48" s="1281" t="s">
        <v>228</v>
      </c>
      <c r="B48" s="1281" t="s">
        <v>229</v>
      </c>
      <c r="C48" s="1281" t="s">
        <v>230</v>
      </c>
      <c r="D48" s="1281" t="s">
        <v>497</v>
      </c>
      <c r="E48" s="2779"/>
      <c r="F48" s="2779"/>
      <c r="G48" s="2779"/>
      <c r="H48" s="2779"/>
      <c r="I48" s="2787"/>
      <c r="J48" s="2776"/>
      <c r="K48" s="1281"/>
      <c r="L48" s="1282"/>
      <c r="P48" s="2777"/>
      <c r="Q48" s="2777"/>
      <c r="R48" s="291"/>
      <c r="S48" s="1196"/>
      <c r="T48" s="223" t="s">
        <v>488</v>
      </c>
      <c r="U48" s="302"/>
      <c r="V48" s="302"/>
      <c r="W48" s="302"/>
      <c r="X48" s="302"/>
      <c r="Y48" s="302"/>
      <c r="Z48" s="302"/>
      <c r="AA48" s="302"/>
      <c r="AB48" s="302"/>
      <c r="AC48" s="302"/>
      <c r="AD48" s="302"/>
      <c r="AE48" s="302"/>
      <c r="AF48" s="302"/>
      <c r="AG48" s="302"/>
      <c r="AH48" s="302"/>
      <c r="AI48" s="302"/>
      <c r="AJ48" s="302"/>
      <c r="AK48" s="1176" t="s">
        <v>489</v>
      </c>
      <c r="AM48" s="435"/>
      <c r="AN48" s="435" t="str">
        <f t="shared" si="1"/>
        <v>Добавить значение признака дифференциации</v>
      </c>
      <c r="AO48" s="435"/>
      <c r="AP48" s="435"/>
      <c r="AQ48" s="1073">
        <v>20</v>
      </c>
    </row>
    <row r="49" spans="1:43" ht="21.95" customHeight="1">
      <c r="A49" s="1281" t="s">
        <v>228</v>
      </c>
      <c r="B49" s="1281" t="s">
        <v>229</v>
      </c>
      <c r="C49" s="1281" t="s">
        <v>230</v>
      </c>
      <c r="D49" s="1281" t="s">
        <v>497</v>
      </c>
      <c r="E49" s="2779"/>
      <c r="F49" s="2779"/>
      <c r="G49" s="2779"/>
      <c r="H49" s="2779"/>
      <c r="I49" s="2776"/>
      <c r="J49" s="1281"/>
      <c r="K49" s="1281"/>
      <c r="L49" s="1282"/>
      <c r="P49" s="2777"/>
      <c r="Q49" s="1272"/>
      <c r="R49" s="291"/>
      <c r="S49" s="1196"/>
      <c r="T49" s="300" t="s">
        <v>414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228</v>
      </c>
      <c r="B50" s="1281" t="s">
        <v>229</v>
      </c>
      <c r="C50" s="1281" t="s">
        <v>230</v>
      </c>
      <c r="D50" s="1281" t="s">
        <v>497</v>
      </c>
      <c r="E50" s="2779"/>
      <c r="F50" s="2779"/>
      <c r="G50" s="2779"/>
      <c r="H50" s="2778"/>
      <c r="I50" s="1281"/>
      <c r="J50" s="1281"/>
      <c r="K50" s="1281"/>
      <c r="L50" s="1282"/>
      <c r="M50" s="1283"/>
      <c r="N50" s="1283"/>
      <c r="O50" s="472"/>
      <c r="P50" s="295"/>
      <c r="Q50" s="310"/>
      <c r="R50" s="290"/>
      <c r="S50" s="1196"/>
      <c r="T50" s="307" t="s">
        <v>490</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520" customFormat="1" ht="0" hidden="1" customHeight="1">
      <c r="A51" s="1261" t="s">
        <v>228</v>
      </c>
      <c r="B51" s="1261" t="s">
        <v>229</v>
      </c>
      <c r="C51" s="1232"/>
      <c r="D51" s="1232"/>
      <c r="E51" s="2779"/>
      <c r="F51" s="2778"/>
      <c r="G51" s="1232"/>
      <c r="H51" s="1232"/>
      <c r="I51" s="1232"/>
      <c r="J51" s="1232"/>
      <c r="K51" s="1232"/>
      <c r="L51" s="1344"/>
      <c r="M51" s="1239"/>
      <c r="N51" s="1239"/>
      <c r="P51" s="1234"/>
      <c r="Q51" s="1235"/>
      <c r="R51" s="1234"/>
      <c r="S51" s="1240"/>
      <c r="T51" s="1243" t="s">
        <v>161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520" customFormat="1" ht="0" hidden="1" customHeight="1">
      <c r="A52" s="1261" t="s">
        <v>228</v>
      </c>
      <c r="B52" s="1261"/>
      <c r="C52" s="1261"/>
      <c r="D52" s="1261"/>
      <c r="E52" s="2778"/>
      <c r="F52" s="1261"/>
      <c r="G52" s="1261"/>
      <c r="H52" s="1261"/>
      <c r="I52" s="1261"/>
      <c r="J52" s="1261"/>
      <c r="K52" s="1261"/>
      <c r="L52" s="1264"/>
      <c r="M52" s="1239"/>
      <c r="N52" s="1239"/>
      <c r="O52" s="453"/>
      <c r="P52" s="315"/>
      <c r="Q52" s="1262"/>
      <c r="R52" s="315"/>
      <c r="S52" s="1240"/>
      <c r="T52" s="1243" t="s">
        <v>162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520"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163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786"/>
      <c r="U55" s="2786"/>
      <c r="V55" s="2786"/>
      <c r="W55" s="2786"/>
      <c r="X55" s="2786"/>
      <c r="Y55" s="2786"/>
      <c r="Z55" s="2786"/>
      <c r="AA55" s="2786"/>
      <c r="AB55" s="2786"/>
      <c r="AC55" s="2786"/>
      <c r="AD55" s="2786"/>
      <c r="AE55" s="2786"/>
      <c r="AF55" s="2786"/>
      <c r="AG55" s="2786"/>
      <c r="AH55" s="2786"/>
      <c r="AI55" s="2786"/>
      <c r="AJ55" s="2786"/>
      <c r="AK55" s="2786"/>
      <c r="AQ55" s="1073">
        <v>14</v>
      </c>
    </row>
    <row r="56" spans="1:43" ht="14.65" customHeight="1">
      <c r="O56" s="472"/>
      <c r="AQ56" s="1073">
        <v>14</v>
      </c>
    </row>
    <row r="57" spans="1:43" ht="14.65" customHeight="1">
      <c r="O57" s="472"/>
      <c r="S57" s="1171"/>
      <c r="T57" s="2786"/>
      <c r="U57" s="2786"/>
      <c r="V57" s="2786"/>
      <c r="W57" s="2786"/>
      <c r="X57" s="2786"/>
      <c r="Y57" s="2786"/>
      <c r="Z57" s="2786"/>
      <c r="AA57" s="2786"/>
      <c r="AB57" s="2786"/>
      <c r="AC57" s="2786"/>
      <c r="AD57" s="2786"/>
      <c r="AE57" s="2786"/>
      <c r="AF57" s="2786"/>
      <c r="AG57" s="2786"/>
      <c r="AH57" s="2786"/>
      <c r="AI57" s="2786"/>
      <c r="AJ57" s="2786"/>
      <c r="AK57" s="2786"/>
      <c r="AQ57" s="1073">
        <v>14</v>
      </c>
    </row>
    <row r="58" spans="1:43" ht="22.5" hidden="1" customHeight="1">
      <c r="A58" s="1078" t="s">
        <v>81</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519" hidden="1"/>
    <col min="2" max="2" width="11" style="2519" hidden="1" customWidth="1"/>
    <col min="3" max="3" width="10.5703125" style="2519" hidden="1"/>
    <col min="4" max="4" width="11.85546875" style="2519" hidden="1" customWidth="1"/>
    <col min="5" max="5" width="10" style="2519" hidden="1" customWidth="1"/>
    <col min="6" max="6" width="8.7109375" style="2519" hidden="1" customWidth="1"/>
    <col min="7" max="7" width="7.5703125" style="2519" hidden="1" customWidth="1"/>
    <col min="8" max="8" width="11.42578125" style="2519" hidden="1" customWidth="1"/>
    <col min="9" max="9" width="14.140625" style="2519" hidden="1" customWidth="1"/>
    <col min="10" max="10" width="9.85546875" style="2519" hidden="1" customWidth="1"/>
    <col min="11" max="11" width="14.7109375" style="2519" hidden="1" customWidth="1"/>
    <col min="12" max="12" width="19.140625" style="2545" hidden="1" customWidth="1"/>
    <col min="13" max="14" width="12.28515625" style="2546" hidden="1" customWidth="1"/>
    <col min="15" max="15" width="23.42578125" style="2546" hidden="1" customWidth="1"/>
    <col min="16" max="16" width="3" style="2547" customWidth="1"/>
    <col min="17" max="18" width="3" style="2548" customWidth="1"/>
    <col min="19" max="19" width="12" style="2549" customWidth="1"/>
    <col min="20" max="20" width="35" style="2513" customWidth="1"/>
    <col min="21" max="21" width="0.140625" style="2513" customWidth="1"/>
    <col min="22" max="24" width="24.7109375" style="2513" hidden="1" customWidth="1"/>
    <col min="25" max="25" width="11.7109375" style="2513" hidden="1" customWidth="1"/>
    <col min="26" max="26" width="3.7109375" style="2513" hidden="1" customWidth="1"/>
    <col min="27" max="27" width="11.7109375" style="2513" hidden="1" customWidth="1"/>
    <col min="28" max="28" width="8.5703125" style="2513" hidden="1" customWidth="1"/>
    <col min="29" max="29" width="24.7109375" style="2513" customWidth="1"/>
    <col min="30" max="31" width="24" style="2513" customWidth="1"/>
    <col min="32" max="32" width="11" style="2513" customWidth="1"/>
    <col min="33" max="33" width="3.7109375" style="2513" customWidth="1"/>
    <col min="34" max="34" width="11" style="2513" customWidth="1"/>
    <col min="35" max="35" width="8.5703125" style="2513" hidden="1" customWidth="1"/>
    <col min="36" max="36" width="4" style="2513" customWidth="1"/>
    <col min="37" max="37" width="115" style="2513" customWidth="1"/>
    <col min="38" max="42" width="10" style="2520" customWidth="1"/>
    <col min="43" max="43" width="10.5703125" style="2513" hidden="1"/>
  </cols>
  <sheetData>
    <row r="1" spans="1:43" ht="22.5" hidden="1" customHeight="1">
      <c r="X1" s="263"/>
      <c r="Y1" s="263"/>
      <c r="AE1" s="263"/>
      <c r="AF1" s="263"/>
      <c r="AQ1" s="1073" t="s">
        <v>14</v>
      </c>
    </row>
    <row r="2" spans="1:43" ht="23.25" hidden="1" customHeight="1">
      <c r="A2" s="1281"/>
      <c r="B2" s="1281"/>
      <c r="C2" s="1281"/>
      <c r="D2" s="1281"/>
      <c r="E2" s="2778">
        <v>1</v>
      </c>
      <c r="F2" s="1281"/>
      <c r="G2" s="1281"/>
      <c r="H2" s="1281"/>
      <c r="I2" s="1281"/>
      <c r="J2" s="1281"/>
      <c r="K2" s="1281"/>
      <c r="L2" s="1282"/>
      <c r="M2" s="1283"/>
      <c r="N2" s="1283"/>
      <c r="O2" s="1283"/>
      <c r="P2" s="296"/>
      <c r="Q2" s="295"/>
      <c r="R2" s="290"/>
      <c r="S2" s="1375" t="e">
        <f>INDEX(PT_DIFFERENTIATION_NUM_NTAR,MATCH(A2,PT_DIFFERENTIATION_NTAR_ID,0))</f>
        <v>#N/A</v>
      </c>
      <c r="T2" s="234" t="s">
        <v>122</v>
      </c>
      <c r="U2" s="236"/>
      <c r="V2" s="2766"/>
      <c r="W2" s="2767"/>
      <c r="X2" s="2767"/>
      <c r="Y2" s="2767"/>
      <c r="Z2" s="2767"/>
      <c r="AA2" s="2767"/>
      <c r="AB2" s="2768"/>
      <c r="AC2" s="2766" t="e">
        <f>INDEX(PT_DIFFERENTIATION_NTAR,MATCH(A2,PT_DIFFERENTIATION_NTAR_ID,0))</f>
        <v>#N/A</v>
      </c>
      <c r="AD2" s="2767"/>
      <c r="AE2" s="2767"/>
      <c r="AF2" s="2767"/>
      <c r="AG2" s="2767"/>
      <c r="AH2" s="2767"/>
      <c r="AI2" s="2767"/>
      <c r="AJ2" s="276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779"/>
      <c r="F3" s="2778">
        <v>1</v>
      </c>
      <c r="G3" s="1281"/>
      <c r="H3" s="1281"/>
      <c r="I3" s="1281"/>
      <c r="J3" s="1281"/>
      <c r="K3" s="1281"/>
      <c r="L3" s="1282"/>
      <c r="M3" s="1283"/>
      <c r="N3" s="1283"/>
      <c r="O3" s="1283"/>
      <c r="P3" s="1371"/>
      <c r="Q3" s="287"/>
      <c r="R3" s="288"/>
      <c r="S3" s="1375" t="e">
        <f>INDEX(PT_DIFFERENTIATION_NUM_TER,MATCH(B3,PT_DIFFERENTIATION_TER_ID,0))</f>
        <v>#N/A</v>
      </c>
      <c r="T3" s="244" t="s">
        <v>399</v>
      </c>
      <c r="U3" s="236"/>
      <c r="V3" s="2766"/>
      <c r="W3" s="2767"/>
      <c r="X3" s="2767"/>
      <c r="Y3" s="2767"/>
      <c r="Z3" s="2767"/>
      <c r="AA3" s="2767"/>
      <c r="AB3" s="2768"/>
      <c r="AC3" s="2766" t="e">
        <f>INDEX(PT_DIFFERENTIATION_TER,MATCH(B3,PT_DIFFERENTIATION_TER_ID,0))</f>
        <v>#N/A</v>
      </c>
      <c r="AD3" s="2767"/>
      <c r="AE3" s="2767"/>
      <c r="AF3" s="2767"/>
      <c r="AG3" s="2767"/>
      <c r="AH3" s="2767"/>
      <c r="AI3" s="2767"/>
      <c r="AJ3" s="2768"/>
      <c r="AK3" s="1176" t="s">
        <v>400</v>
      </c>
      <c r="AM3" s="435"/>
      <c r="AN3" s="435" t="str">
        <f t="shared" si="0"/>
        <v>Территория действия тарифа</v>
      </c>
      <c r="AO3" s="435"/>
      <c r="AP3" s="435"/>
      <c r="AQ3" s="1073">
        <v>0</v>
      </c>
    </row>
    <row r="4" spans="1:43" ht="23.25" hidden="1" customHeight="1">
      <c r="A4" s="1281"/>
      <c r="B4" s="1281"/>
      <c r="C4" s="1281"/>
      <c r="D4" s="1281"/>
      <c r="E4" s="2779"/>
      <c r="F4" s="2779"/>
      <c r="G4" s="2778">
        <v>1</v>
      </c>
      <c r="H4" s="1281"/>
      <c r="I4" s="1281"/>
      <c r="J4" s="1281"/>
      <c r="K4" s="1281"/>
      <c r="L4" s="1282"/>
      <c r="M4" s="1283"/>
      <c r="N4" s="1283"/>
      <c r="O4" s="1283"/>
      <c r="P4" s="289"/>
      <c r="Q4" s="287"/>
      <c r="R4" s="288"/>
      <c r="S4" s="1375" t="e">
        <f>INDEX(PT_DIFFERENTIATION_NUM_CS,MATCH(C4,PT_DIFFERENTIATION_CS_ID,0))</f>
        <v>#N/A</v>
      </c>
      <c r="T4" s="245" t="s">
        <v>483</v>
      </c>
      <c r="U4" s="236"/>
      <c r="V4" s="2766"/>
      <c r="W4" s="2767"/>
      <c r="X4" s="2767"/>
      <c r="Y4" s="2767"/>
      <c r="Z4" s="2767"/>
      <c r="AA4" s="2767"/>
      <c r="AB4" s="2768"/>
      <c r="AC4" s="2766" t="e">
        <f>INDEX(PT_DIFFERENTIATION_CS,MATCH(C4,PT_DIFFERENTIATION_CS_ID,0))</f>
        <v>#N/A</v>
      </c>
      <c r="AD4" s="2767"/>
      <c r="AE4" s="2767"/>
      <c r="AF4" s="2767"/>
      <c r="AG4" s="2767"/>
      <c r="AH4" s="2767"/>
      <c r="AI4" s="2767"/>
      <c r="AJ4" s="2768"/>
      <c r="AK4" s="1176" t="s">
        <v>484</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779"/>
      <c r="F5" s="2779"/>
      <c r="G5" s="2779"/>
      <c r="H5" s="2779"/>
      <c r="I5" s="2776" t="e">
        <f>S4&amp;".1"</f>
        <v>#N/A</v>
      </c>
      <c r="J5" s="1281"/>
      <c r="K5" s="1281"/>
      <c r="L5" s="1282"/>
      <c r="P5" s="2777">
        <v>1</v>
      </c>
      <c r="Q5" s="1368"/>
      <c r="R5" s="291"/>
      <c r="S5" s="1375" t="e">
        <f>$I5</f>
        <v>#N/A</v>
      </c>
      <c r="T5" s="221" t="s">
        <v>485</v>
      </c>
      <c r="U5" s="236"/>
      <c r="V5" s="2833"/>
      <c r="W5" s="2834"/>
      <c r="X5" s="2834"/>
      <c r="Y5" s="2834"/>
      <c r="Z5" s="2834"/>
      <c r="AA5" s="2834"/>
      <c r="AB5" s="2835"/>
      <c r="AC5" s="2836"/>
      <c r="AD5" s="2837"/>
      <c r="AE5" s="2837"/>
      <c r="AF5" s="2837"/>
      <c r="AG5" s="2837"/>
      <c r="AH5" s="2837"/>
      <c r="AI5" s="2837"/>
      <c r="AJ5" s="2838"/>
      <c r="AK5" s="1176" t="s">
        <v>486</v>
      </c>
      <c r="AM5" s="435"/>
      <c r="AN5" s="435" t="str">
        <f t="shared" si="0"/>
        <v>Наименование признака дифференциации</v>
      </c>
      <c r="AO5" s="435"/>
      <c r="AP5" s="435"/>
      <c r="AQ5" s="1073">
        <v>0</v>
      </c>
    </row>
    <row r="6" spans="1:43" ht="23.25" hidden="1" customHeight="1">
      <c r="A6" s="1281"/>
      <c r="B6" s="1281"/>
      <c r="C6" s="1281"/>
      <c r="D6" s="1281"/>
      <c r="E6" s="2779"/>
      <c r="F6" s="2779"/>
      <c r="G6" s="2779"/>
      <c r="H6" s="2779"/>
      <c r="I6" s="2787"/>
      <c r="J6" s="2776" t="e">
        <f>I5&amp;".1"</f>
        <v>#N/A</v>
      </c>
      <c r="K6" s="1281"/>
      <c r="L6" s="1282" t="s">
        <v>408</v>
      </c>
      <c r="P6" s="2777"/>
      <c r="Q6" s="2777">
        <v>1</v>
      </c>
      <c r="R6" s="292"/>
      <c r="S6" s="1375" t="e">
        <f>$J6</f>
        <v>#N/A</v>
      </c>
      <c r="T6" s="222" t="s">
        <v>409</v>
      </c>
      <c r="U6" s="236"/>
      <c r="V6" s="2769"/>
      <c r="W6" s="2770"/>
      <c r="X6" s="2770"/>
      <c r="Y6" s="2770"/>
      <c r="Z6" s="2770"/>
      <c r="AA6" s="2770"/>
      <c r="AB6" s="2771"/>
      <c r="AC6" s="2769"/>
      <c r="AD6" s="2770"/>
      <c r="AE6" s="2770"/>
      <c r="AF6" s="2770"/>
      <c r="AG6" s="2770"/>
      <c r="AH6" s="2770"/>
      <c r="AI6" s="2770"/>
      <c r="AJ6" s="2771"/>
      <c r="AK6" s="1225" t="s">
        <v>487</v>
      </c>
      <c r="AM6" s="435"/>
      <c r="AN6" s="435" t="str">
        <f t="shared" si="0"/>
        <v>Группа потребителей</v>
      </c>
      <c r="AO6" s="435"/>
      <c r="AP6" s="435"/>
      <c r="AQ6" s="1073">
        <v>0</v>
      </c>
    </row>
    <row r="7" spans="1:43" ht="23.25" hidden="1" customHeight="1">
      <c r="A7" s="1281"/>
      <c r="B7" s="1281"/>
      <c r="C7" s="1281"/>
      <c r="D7" s="1281"/>
      <c r="E7" s="2779"/>
      <c r="F7" s="2779"/>
      <c r="G7" s="2779"/>
      <c r="H7" s="2779"/>
      <c r="I7" s="2787"/>
      <c r="J7" s="2787"/>
      <c r="K7" s="2776" t="e">
        <f>J6&amp;".1"</f>
        <v>#N/A</v>
      </c>
      <c r="L7" s="1282"/>
      <c r="P7" s="2777"/>
      <c r="Q7" s="2777"/>
      <c r="R7" s="292">
        <v>1</v>
      </c>
      <c r="S7" s="1375" t="e">
        <f>$K7</f>
        <v>#N/A</v>
      </c>
      <c r="T7" s="1355"/>
      <c r="U7" s="236"/>
      <c r="V7" s="686"/>
      <c r="W7" s="686"/>
      <c r="X7" s="1175"/>
      <c r="Y7" s="2753"/>
      <c r="Z7" s="2619" t="s">
        <v>66</v>
      </c>
      <c r="AA7" s="2753"/>
      <c r="AB7" s="2619" t="s">
        <v>66</v>
      </c>
      <c r="AC7" s="686"/>
      <c r="AD7" s="686"/>
      <c r="AE7" s="1175"/>
      <c r="AF7" s="2753"/>
      <c r="AG7" s="2619" t="s">
        <v>66</v>
      </c>
      <c r="AH7" s="2788"/>
      <c r="AI7" s="2619" t="s">
        <v>66</v>
      </c>
      <c r="AJ7" s="1356"/>
      <c r="AK7" s="28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779"/>
      <c r="F8" s="2779"/>
      <c r="G8" s="2779"/>
      <c r="H8" s="2779"/>
      <c r="I8" s="2787"/>
      <c r="J8" s="2787"/>
      <c r="K8" s="2776"/>
      <c r="L8" s="1282"/>
      <c r="P8" s="2777"/>
      <c r="Q8" s="2777"/>
      <c r="R8" s="292"/>
      <c r="S8" s="1374"/>
      <c r="T8" s="236"/>
      <c r="U8" s="236"/>
      <c r="V8" s="261"/>
      <c r="W8" s="261"/>
      <c r="X8" s="264" t="str">
        <f>Y7&amp;"-"&amp;AA7</f>
        <v>-</v>
      </c>
      <c r="Y8" s="2752"/>
      <c r="Z8" s="2619"/>
      <c r="AA8" s="2752"/>
      <c r="AB8" s="2619"/>
      <c r="AC8" s="261"/>
      <c r="AD8" s="261"/>
      <c r="AE8" s="264" t="str">
        <f>AF7&amp;"-"&amp;AH7</f>
        <v>-</v>
      </c>
      <c r="AF8" s="2752"/>
      <c r="AG8" s="2619"/>
      <c r="AH8" s="2789"/>
      <c r="AI8" s="2619"/>
      <c r="AJ8" s="1357"/>
      <c r="AK8" s="2832"/>
      <c r="AM8" s="435"/>
      <c r="AN8" s="435" t="str">
        <f t="shared" si="0"/>
        <v/>
      </c>
      <c r="AO8" s="435"/>
      <c r="AP8" s="435"/>
      <c r="AQ8" s="1073">
        <v>0</v>
      </c>
    </row>
    <row r="9" spans="1:43" ht="21" hidden="1" customHeight="1">
      <c r="A9" s="1281"/>
      <c r="B9" s="1281"/>
      <c r="C9" s="1281"/>
      <c r="D9" s="1281"/>
      <c r="E9" s="2779"/>
      <c r="F9" s="2779"/>
      <c r="G9" s="2779"/>
      <c r="H9" s="2779"/>
      <c r="I9" s="2787"/>
      <c r="J9" s="2776"/>
      <c r="K9" s="1281"/>
      <c r="L9" s="1282"/>
      <c r="P9" s="2777"/>
      <c r="Q9" s="2777"/>
      <c r="R9" s="291"/>
      <c r="S9" s="1196"/>
      <c r="T9" s="223" t="s">
        <v>488</v>
      </c>
      <c r="U9" s="302"/>
      <c r="V9" s="302"/>
      <c r="W9" s="302"/>
      <c r="X9" s="302"/>
      <c r="Y9" s="302"/>
      <c r="Z9" s="302"/>
      <c r="AA9" s="302"/>
      <c r="AB9" s="302"/>
      <c r="AC9" s="302"/>
      <c r="AD9" s="302"/>
      <c r="AE9" s="302"/>
      <c r="AF9" s="302"/>
      <c r="AG9" s="302"/>
      <c r="AH9" s="302"/>
      <c r="AI9" s="302"/>
      <c r="AJ9" s="302"/>
      <c r="AK9" s="1176" t="s">
        <v>489</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779"/>
      <c r="F10" s="2779"/>
      <c r="G10" s="2779"/>
      <c r="H10" s="2779"/>
      <c r="I10" s="2776"/>
      <c r="J10" s="1281"/>
      <c r="K10" s="1281"/>
      <c r="L10" s="1282"/>
      <c r="P10" s="2777"/>
      <c r="Q10" s="1368"/>
      <c r="R10" s="291"/>
      <c r="S10" s="1196"/>
      <c r="T10" s="300" t="s">
        <v>414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779"/>
      <c r="F11" s="2779"/>
      <c r="G11" s="2779"/>
      <c r="H11" s="2778"/>
      <c r="I11" s="1281"/>
      <c r="J11" s="1281"/>
      <c r="K11" s="1281"/>
      <c r="L11" s="1282"/>
      <c r="M11" s="1283"/>
      <c r="N11" s="1283"/>
      <c r="O11" s="472"/>
      <c r="P11" s="295"/>
      <c r="Q11" s="310"/>
      <c r="R11" s="290"/>
      <c r="S11" s="1196"/>
      <c r="T11" s="307" t="s">
        <v>490</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520" customFormat="1" ht="14.25" hidden="1" customHeight="1">
      <c r="A12" s="1261"/>
      <c r="B12" s="1261"/>
      <c r="C12" s="1232"/>
      <c r="D12" s="1232"/>
      <c r="E12" s="2779"/>
      <c r="F12" s="2778"/>
      <c r="G12" s="1232"/>
      <c r="H12" s="1232"/>
      <c r="I12" s="1232"/>
      <c r="J12" s="1232"/>
      <c r="K12" s="1232"/>
      <c r="L12" s="1376"/>
      <c r="M12" s="1239"/>
      <c r="N12" s="1239"/>
      <c r="P12" s="1234"/>
      <c r="Q12" s="1235"/>
      <c r="R12" s="1234"/>
      <c r="S12" s="1240"/>
      <c r="T12" s="1243" t="s">
        <v>161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520" customFormat="1" ht="14.25" hidden="1" customHeight="1">
      <c r="A13" s="1261"/>
      <c r="B13" s="1261"/>
      <c r="C13" s="1261"/>
      <c r="D13" s="1261"/>
      <c r="E13" s="2778"/>
      <c r="F13" s="1261"/>
      <c r="G13" s="1261"/>
      <c r="H13" s="1261"/>
      <c r="I13" s="1261"/>
      <c r="J13" s="1261"/>
      <c r="K13" s="1261"/>
      <c r="L13" s="1264"/>
      <c r="M13" s="1239"/>
      <c r="N13" s="1239"/>
      <c r="O13" s="453"/>
      <c r="P13" s="315"/>
      <c r="Q13" s="1262"/>
      <c r="R13" s="315"/>
      <c r="S13" s="1240"/>
      <c r="T13" s="1243" t="s">
        <v>162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780"/>
      <c r="AG15" s="2781" t="s">
        <v>66</v>
      </c>
      <c r="AH15" s="2780"/>
      <c r="AI15" s="2781" t="s">
        <v>66</v>
      </c>
      <c r="AQ15" s="1073">
        <v>0</v>
      </c>
    </row>
    <row r="16" spans="1:43" ht="14.25" hidden="1" customHeight="1">
      <c r="AC16" s="1278"/>
      <c r="AD16" s="1278"/>
      <c r="AE16" s="264" t="str">
        <f>AF15&amp;"-"&amp;AH15</f>
        <v>-</v>
      </c>
      <c r="AF16" s="2781"/>
      <c r="AG16" s="2781"/>
      <c r="AH16" s="2781"/>
      <c r="AI16" s="2781"/>
      <c r="AQ16" s="1073">
        <v>0</v>
      </c>
    </row>
    <row r="17" spans="1:43" ht="14.25" hidden="1" customHeight="1">
      <c r="AI17" s="263"/>
      <c r="AQ17" s="1073">
        <v>0</v>
      </c>
    </row>
    <row r="18" spans="1:43" s="2519" customFormat="1" ht="22.5" hidden="1" customHeight="1">
      <c r="L18" s="1365"/>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519"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519" customFormat="1" ht="12" hidden="1" customHeight="1">
      <c r="L20" s="1365"/>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74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49"/>
      <c r="U24" s="2749"/>
      <c r="V24" s="2749"/>
      <c r="W24" s="2749"/>
      <c r="X24" s="2749"/>
      <c r="Y24" s="2749"/>
      <c r="Z24" s="2749"/>
      <c r="AA24" s="2749"/>
      <c r="AB24" s="2749"/>
      <c r="AC24" s="2749"/>
      <c r="AD24" s="2749"/>
      <c r="AE24" s="2749"/>
      <c r="AF24" s="2749"/>
      <c r="AG24" s="2749"/>
      <c r="AH24" s="2749"/>
      <c r="AI24" s="1161"/>
      <c r="AQ24" s="1073">
        <v>14</v>
      </c>
    </row>
    <row r="25" spans="1:43" ht="14.65" customHeight="1">
      <c r="Q25" s="311"/>
      <c r="R25" s="311"/>
      <c r="S25" s="2696" t="str">
        <f>IF(org=0,"Не определено",org)</f>
        <v>ООО "Ноябрьская ПГЭ"</v>
      </c>
      <c r="T25" s="2696"/>
      <c r="U25" s="2696"/>
      <c r="V25" s="2696"/>
      <c r="W25" s="2696"/>
      <c r="X25" s="2696"/>
      <c r="Y25" s="2696"/>
      <c r="Z25" s="2696"/>
      <c r="AA25" s="2696"/>
      <c r="AB25" s="2696"/>
      <c r="AC25" s="2696"/>
      <c r="AD25" s="2696"/>
      <c r="AE25" s="2696"/>
      <c r="AF25" s="2696"/>
      <c r="AG25" s="2696"/>
      <c r="AH25" s="2696"/>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529" customFormat="1" ht="25.5" hidden="1" customHeight="1">
      <c r="A27" s="1286"/>
      <c r="B27" s="1286"/>
      <c r="C27" s="1286"/>
      <c r="D27" s="1286"/>
      <c r="E27" s="1286"/>
      <c r="F27" s="1286"/>
      <c r="G27" s="1286"/>
      <c r="H27" s="1286"/>
      <c r="I27" s="1286"/>
      <c r="J27" s="1286"/>
      <c r="K27" s="1286"/>
      <c r="L27" s="1287"/>
      <c r="M27" s="1286"/>
      <c r="N27" s="1286"/>
      <c r="O27" s="1286"/>
      <c r="S27" s="2772" t="s">
        <v>42</v>
      </c>
      <c r="T27" s="2772"/>
      <c r="U27" s="1290"/>
      <c r="V27" s="2754" t="str">
        <f>IF(TITLE_NAME_OR_PR_CHANGE="",IF(TITLE_NAME_OR_PR="","",TITLE_NAME_OR_PR),TITLE_NAME_OR_PR_CHANGE)</f>
        <v/>
      </c>
      <c r="W27" s="2754"/>
      <c r="X27" s="2754"/>
      <c r="Y27" s="2754"/>
      <c r="Z27" s="2754"/>
      <c r="AA27" s="2754"/>
      <c r="AB27" s="262"/>
      <c r="AC27" s="2754" t="str">
        <f>IF(TITLE_NAME_OR_PR_CHANGE="",IF(TITLE_NAME_OR_PR="","",TITLE_NAME_OR_PR),TITLE_NAME_OR_PR_CHANGE)</f>
        <v/>
      </c>
      <c r="AD27" s="2754"/>
      <c r="AE27" s="2754"/>
      <c r="AF27" s="2754"/>
      <c r="AG27" s="2754"/>
      <c r="AH27" s="2754"/>
      <c r="AI27" s="262"/>
      <c r="AJ27" s="262"/>
      <c r="AK27" s="216"/>
      <c r="AL27" s="303"/>
      <c r="AM27" s="303"/>
      <c r="AN27" s="303"/>
      <c r="AO27" s="303"/>
      <c r="AP27" s="303"/>
      <c r="AQ27" s="353">
        <v>0</v>
      </c>
    </row>
    <row r="28" spans="1:43" s="2529" customFormat="1" ht="18.75" hidden="1" customHeight="1">
      <c r="A28" s="1286"/>
      <c r="B28" s="1286"/>
      <c r="C28" s="1286"/>
      <c r="D28" s="1286"/>
      <c r="E28" s="1286"/>
      <c r="F28" s="1286"/>
      <c r="G28" s="1286"/>
      <c r="H28" s="1286"/>
      <c r="I28" s="1286"/>
      <c r="J28" s="1286"/>
      <c r="K28" s="1286"/>
      <c r="L28" s="1287"/>
      <c r="M28" s="1286"/>
      <c r="N28" s="1286"/>
      <c r="O28" s="1286"/>
      <c r="S28" s="2772" t="s">
        <v>422</v>
      </c>
      <c r="T28" s="2772"/>
      <c r="U28" s="1290"/>
      <c r="V28" s="2755">
        <f>IF(TITLE_DATE_PR_CHANGE="",IF(TITLE_DATE_PR="","",TITLE_DATE_PR),TITLE_DATE_PR_CHANGE)</f>
        <v>45583</v>
      </c>
      <c r="W28" s="2755"/>
      <c r="X28" s="2755"/>
      <c r="Y28" s="2755"/>
      <c r="Z28" s="2755"/>
      <c r="AA28" s="2755"/>
      <c r="AB28" s="262"/>
      <c r="AC28" s="2755">
        <f>IF(TITLE_DATE_PR_CHANGE="",IF(TITLE_DATE_PR="","",TITLE_DATE_PR),TITLE_DATE_PR_CHANGE)</f>
        <v>45583</v>
      </c>
      <c r="AD28" s="2755"/>
      <c r="AE28" s="2755"/>
      <c r="AF28" s="2755"/>
      <c r="AG28" s="2755"/>
      <c r="AH28" s="2755"/>
      <c r="AI28" s="262"/>
      <c r="AJ28" s="262"/>
      <c r="AK28" s="216"/>
      <c r="AL28" s="303"/>
      <c r="AM28" s="303"/>
      <c r="AN28" s="303"/>
      <c r="AO28" s="303"/>
      <c r="AP28" s="303"/>
      <c r="AQ28" s="353">
        <v>0</v>
      </c>
    </row>
    <row r="29" spans="1:43" s="2529" customFormat="1" ht="18.75" hidden="1" customHeight="1">
      <c r="A29" s="1286"/>
      <c r="B29" s="1286"/>
      <c r="C29" s="1286"/>
      <c r="D29" s="1286"/>
      <c r="E29" s="1286"/>
      <c r="F29" s="1286"/>
      <c r="G29" s="1286"/>
      <c r="H29" s="1286"/>
      <c r="I29" s="1286"/>
      <c r="J29" s="1286"/>
      <c r="K29" s="1286"/>
      <c r="L29" s="1287"/>
      <c r="M29" s="1286"/>
      <c r="N29" s="1286"/>
      <c r="O29" s="1286"/>
      <c r="S29" s="2772" t="s">
        <v>423</v>
      </c>
      <c r="T29" s="2772"/>
      <c r="U29" s="1290"/>
      <c r="V29" s="2754" t="str">
        <f>IF(TITLE_NUMBER_PR_CHANGE="",IF(TITLE_NUMBER_PR="","",TITLE_NUMBER_PR),TITLE_NUMBER_PR_CHANGE)</f>
        <v>18-3341</v>
      </c>
      <c r="W29" s="2754"/>
      <c r="X29" s="2754"/>
      <c r="Y29" s="2754"/>
      <c r="Z29" s="2754"/>
      <c r="AA29" s="2754"/>
      <c r="AB29" s="262"/>
      <c r="AC29" s="2754" t="str">
        <f>IF(TITLE_NUMBER_PR_CHANGE="",IF(TITLE_NUMBER_PR="","",TITLE_NUMBER_PR),TITLE_NUMBER_PR_CHANGE)</f>
        <v>18-3341</v>
      </c>
      <c r="AD29" s="2754"/>
      <c r="AE29" s="2754"/>
      <c r="AF29" s="2754"/>
      <c r="AG29" s="2754"/>
      <c r="AH29" s="2754"/>
      <c r="AI29" s="262"/>
      <c r="AJ29" s="262"/>
      <c r="AK29" s="216"/>
      <c r="AL29" s="303"/>
      <c r="AM29" s="303"/>
      <c r="AN29" s="303"/>
      <c r="AO29" s="303"/>
      <c r="AP29" s="303"/>
      <c r="AQ29" s="353">
        <v>0</v>
      </c>
    </row>
    <row r="30" spans="1:43" s="2529" customFormat="1" ht="18.75" hidden="1" customHeight="1">
      <c r="A30" s="1286"/>
      <c r="B30" s="1286"/>
      <c r="C30" s="1286"/>
      <c r="D30" s="1286"/>
      <c r="E30" s="1286"/>
      <c r="F30" s="1286"/>
      <c r="G30" s="1286"/>
      <c r="H30" s="1286"/>
      <c r="I30" s="1286"/>
      <c r="J30" s="1286"/>
      <c r="K30" s="1286"/>
      <c r="L30" s="1287"/>
      <c r="M30" s="1286"/>
      <c r="N30" s="1286"/>
      <c r="O30" s="1286"/>
      <c r="S30" s="2772" t="s">
        <v>43</v>
      </c>
      <c r="T30" s="2772"/>
      <c r="U30" s="1290"/>
      <c r="V30" s="2754" t="str">
        <f>IF(TITLE_IST_PUB_CHANGE="",IF(TITLE_IST_PUB="","",TITLE_IST_PUB),TITLE_IST_PUB_CHANGE)</f>
        <v/>
      </c>
      <c r="W30" s="2754"/>
      <c r="X30" s="2754"/>
      <c r="Y30" s="2754"/>
      <c r="Z30" s="2754"/>
      <c r="AA30" s="2754"/>
      <c r="AB30" s="262"/>
      <c r="AC30" s="2754" t="str">
        <f>IF(TITLE_IST_PUB_CHANGE="",IF(TITLE_IST_PUB="","",TITLE_IST_PUB),TITLE_IST_PUB_CHANGE)</f>
        <v/>
      </c>
      <c r="AD30" s="2754"/>
      <c r="AE30" s="2754"/>
      <c r="AF30" s="2754"/>
      <c r="AG30" s="2754"/>
      <c r="AH30" s="2754"/>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529" customFormat="1" ht="18.75" customHeight="1">
      <c r="A32" s="1286"/>
      <c r="B32" s="1286"/>
      <c r="C32" s="1286"/>
      <c r="D32" s="1286"/>
      <c r="E32" s="1286"/>
      <c r="F32" s="1286"/>
      <c r="G32" s="1286"/>
      <c r="H32" s="1286"/>
      <c r="I32" s="1286"/>
      <c r="J32" s="1286"/>
      <c r="K32" s="1286"/>
      <c r="L32" s="1287"/>
      <c r="M32" s="1286"/>
      <c r="N32" s="1286"/>
      <c r="O32" s="1286"/>
      <c r="S32" s="2772" t="s">
        <v>424</v>
      </c>
      <c r="T32" s="2772"/>
      <c r="U32" s="1290"/>
      <c r="V32" s="2755">
        <f>IF(TITLE_DATE_PR_CHANGE="",IF(TITLE_DATE_PR="","",TITLE_DATE_PR),TITLE_DATE_PR_CHANGE)</f>
        <v>45583</v>
      </c>
      <c r="W32" s="2755"/>
      <c r="X32" s="2755"/>
      <c r="Y32" s="2755"/>
      <c r="Z32" s="2755"/>
      <c r="AA32" s="2755"/>
      <c r="AB32" s="262"/>
      <c r="AC32" s="2755">
        <f>IF(TITLE_DATE_PR_CHANGE="",IF(TITLE_DATE_PR="","",TITLE_DATE_PR),TITLE_DATE_PR_CHANGE)</f>
        <v>45583</v>
      </c>
      <c r="AD32" s="2755"/>
      <c r="AE32" s="2755"/>
      <c r="AF32" s="2755"/>
      <c r="AG32" s="2755"/>
      <c r="AH32" s="2755"/>
      <c r="AI32" s="262"/>
      <c r="AJ32" s="262"/>
      <c r="AK32" s="216"/>
      <c r="AL32" s="303"/>
      <c r="AM32" s="303"/>
      <c r="AN32" s="303"/>
      <c r="AO32" s="303"/>
      <c r="AP32" s="303"/>
      <c r="AQ32" s="353">
        <v>0</v>
      </c>
    </row>
    <row r="33" spans="1:43" s="2529" customFormat="1" ht="18.75" customHeight="1">
      <c r="A33" s="1286"/>
      <c r="B33" s="1286"/>
      <c r="C33" s="1286"/>
      <c r="D33" s="1286"/>
      <c r="E33" s="1286"/>
      <c r="F33" s="1286"/>
      <c r="G33" s="1286"/>
      <c r="H33" s="1286"/>
      <c r="I33" s="1286"/>
      <c r="J33" s="1286"/>
      <c r="K33" s="1286"/>
      <c r="L33" s="1287"/>
      <c r="M33" s="1286"/>
      <c r="N33" s="1286"/>
      <c r="O33" s="1286"/>
      <c r="S33" s="2772" t="s">
        <v>425</v>
      </c>
      <c r="T33" s="2772"/>
      <c r="U33" s="1290"/>
      <c r="V33" s="2754" t="str">
        <f>IF(TITLE_NUMBER_PR_CHANGE="",IF(TITLE_NUMBER_PR="","",TITLE_NUMBER_PR),TITLE_NUMBER_PR_CHANGE)</f>
        <v>18-3341</v>
      </c>
      <c r="W33" s="2754"/>
      <c r="X33" s="2754"/>
      <c r="Y33" s="2754"/>
      <c r="Z33" s="2754"/>
      <c r="AA33" s="2754"/>
      <c r="AB33" s="262"/>
      <c r="AC33" s="2754" t="str">
        <f>IF(TITLE_NUMBER_PR_CHANGE="",IF(TITLE_NUMBER_PR="","",TITLE_NUMBER_PR),TITLE_NUMBER_PR_CHANGE)</f>
        <v>18-3341</v>
      </c>
      <c r="AD33" s="2754"/>
      <c r="AE33" s="2754"/>
      <c r="AF33" s="2754"/>
      <c r="AG33" s="2754"/>
      <c r="AH33" s="2754"/>
      <c r="AI33" s="262"/>
      <c r="AJ33" s="262"/>
      <c r="AK33" s="216"/>
      <c r="AL33" s="303"/>
      <c r="AM33" s="303"/>
      <c r="AN33" s="303"/>
      <c r="AO33" s="303"/>
      <c r="AP33" s="303"/>
      <c r="AQ33" s="353">
        <v>0</v>
      </c>
    </row>
    <row r="34" spans="1:43" s="2529"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756"/>
      <c r="W35" s="2756"/>
      <c r="X35" s="2756"/>
      <c r="Y35" s="2756"/>
      <c r="Z35" s="2756"/>
      <c r="AA35" s="2756"/>
      <c r="AB35" s="2756"/>
      <c r="AC35" s="2756"/>
      <c r="AD35" s="2756"/>
      <c r="AE35" s="2756"/>
      <c r="AF35" s="2756"/>
      <c r="AG35" s="2756"/>
      <c r="AH35" s="2756"/>
      <c r="AI35" s="2756"/>
      <c r="AQ35" s="1073">
        <v>14</v>
      </c>
    </row>
    <row r="36" spans="1:43" ht="14.65" customHeight="1">
      <c r="Q36" s="311"/>
      <c r="R36" s="311"/>
      <c r="S36" s="2638" t="s">
        <v>302</v>
      </c>
      <c r="T36" s="2638"/>
      <c r="U36" s="2638"/>
      <c r="V36" s="2638"/>
      <c r="W36" s="2638"/>
      <c r="X36" s="2638"/>
      <c r="Y36" s="2638"/>
      <c r="Z36" s="2638"/>
      <c r="AA36" s="2638"/>
      <c r="AB36" s="2638"/>
      <c r="AC36" s="2638"/>
      <c r="AD36" s="2638"/>
      <c r="AE36" s="2638"/>
      <c r="AF36" s="2638"/>
      <c r="AG36" s="2638"/>
      <c r="AH36" s="2638"/>
      <c r="AI36" s="2638"/>
      <c r="AJ36" s="2638"/>
      <c r="AK36" s="2638" t="s">
        <v>303</v>
      </c>
      <c r="AQ36" s="1073">
        <v>14</v>
      </c>
    </row>
    <row r="37" spans="1:43" ht="14.65" customHeight="1">
      <c r="Q37" s="311"/>
      <c r="R37" s="311"/>
      <c r="S37" s="2782" t="s">
        <v>87</v>
      </c>
      <c r="T37" s="2724" t="s">
        <v>428</v>
      </c>
      <c r="U37" s="237"/>
      <c r="V37" s="2757" t="s">
        <v>429</v>
      </c>
      <c r="W37" s="2758"/>
      <c r="X37" s="2758"/>
      <c r="Y37" s="2758"/>
      <c r="Z37" s="2758"/>
      <c r="AA37" s="2759"/>
      <c r="AB37" s="2760" t="s">
        <v>430</v>
      </c>
      <c r="AC37" s="2757" t="s">
        <v>429</v>
      </c>
      <c r="AD37" s="2758"/>
      <c r="AE37" s="2758"/>
      <c r="AF37" s="2758"/>
      <c r="AG37" s="2758"/>
      <c r="AH37" s="2759"/>
      <c r="AI37" s="2760" t="s">
        <v>431</v>
      </c>
      <c r="AJ37" s="2783" t="s">
        <v>432</v>
      </c>
      <c r="AK37" s="2638"/>
      <c r="AQ37" s="1073">
        <v>14</v>
      </c>
    </row>
    <row r="38" spans="1:43" ht="35.65" customHeight="1">
      <c r="Q38" s="311"/>
      <c r="R38" s="311"/>
      <c r="S38" s="2782"/>
      <c r="T38" s="2724"/>
      <c r="U38" s="953"/>
      <c r="V38" s="1370" t="s">
        <v>491</v>
      </c>
      <c r="W38" s="2610" t="s">
        <v>435</v>
      </c>
      <c r="X38" s="2609"/>
      <c r="Y38" s="2610" t="s">
        <v>436</v>
      </c>
      <c r="Z38" s="2615"/>
      <c r="AA38" s="2609"/>
      <c r="AB38" s="2761"/>
      <c r="AC38" s="1370" t="s">
        <v>491</v>
      </c>
      <c r="AD38" s="2610" t="s">
        <v>435</v>
      </c>
      <c r="AE38" s="2609"/>
      <c r="AF38" s="2610" t="s">
        <v>436</v>
      </c>
      <c r="AG38" s="2615"/>
      <c r="AH38" s="2609"/>
      <c r="AI38" s="2761"/>
      <c r="AJ38" s="2784"/>
      <c r="AK38" s="2638"/>
      <c r="AQ38" s="1073">
        <v>34</v>
      </c>
    </row>
    <row r="39" spans="1:43" ht="35.65" customHeight="1">
      <c r="A39" s="1288"/>
      <c r="B39" s="1288" t="s">
        <v>134</v>
      </c>
      <c r="C39" s="1288" t="s">
        <v>135</v>
      </c>
      <c r="D39" s="1288" t="s">
        <v>136</v>
      </c>
      <c r="E39" s="1282" t="s">
        <v>437</v>
      </c>
      <c r="F39" s="1282" t="s">
        <v>438</v>
      </c>
      <c r="G39" s="1282" t="s">
        <v>439</v>
      </c>
      <c r="H39" s="1282"/>
      <c r="I39" s="1282" t="s">
        <v>492</v>
      </c>
      <c r="J39" s="1282" t="s">
        <v>442</v>
      </c>
      <c r="K39" s="1282" t="s">
        <v>493</v>
      </c>
      <c r="L39" s="1282" t="s">
        <v>417</v>
      </c>
      <c r="Q39" s="311"/>
      <c r="R39" s="311"/>
      <c r="S39" s="2782"/>
      <c r="T39" s="2724"/>
      <c r="U39" s="238"/>
      <c r="V39" s="1370" t="s">
        <v>494</v>
      </c>
      <c r="W39" s="1140" t="s">
        <v>495</v>
      </c>
      <c r="X39" s="1140" t="s">
        <v>496</v>
      </c>
      <c r="Y39" s="1373" t="s">
        <v>446</v>
      </c>
      <c r="Z39" s="2733" t="s">
        <v>447</v>
      </c>
      <c r="AA39" s="2735"/>
      <c r="AB39" s="2762"/>
      <c r="AC39" s="1370" t="s">
        <v>494</v>
      </c>
      <c r="AD39" s="1140" t="s">
        <v>495</v>
      </c>
      <c r="AE39" s="1140" t="s">
        <v>496</v>
      </c>
      <c r="AF39" s="1373" t="s">
        <v>446</v>
      </c>
      <c r="AG39" s="2733" t="s">
        <v>447</v>
      </c>
      <c r="AH39" s="2735"/>
      <c r="AI39" s="2762"/>
      <c r="AJ39" s="2785"/>
      <c r="AK39" s="2638"/>
      <c r="AQ39" s="1073">
        <v>34</v>
      </c>
    </row>
    <row r="40" spans="1:43" s="2544"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108</v>
      </c>
      <c r="T40" s="1173" t="s">
        <v>109</v>
      </c>
      <c r="U40" s="1163" t="str">
        <f ca="1">OFFSET(U40,0,-1)</f>
        <v>2</v>
      </c>
      <c r="V40" s="1369">
        <f ca="1">OFFSET(V40,0,-1)+1</f>
        <v>3</v>
      </c>
      <c r="W40" s="1369">
        <f ca="1">OFFSET(W40,0,-1)+1</f>
        <v>4</v>
      </c>
      <c r="X40" s="1369">
        <f ca="1">OFFSET(X40,0,-1)+1</f>
        <v>5</v>
      </c>
      <c r="Y40" s="1369">
        <f ca="1">OFFSET(Y40,0,-1)+1</f>
        <v>6</v>
      </c>
      <c r="Z40" s="2765">
        <f ca="1">OFFSET(Z40,0,-1)+1</f>
        <v>7</v>
      </c>
      <c r="AA40" s="2765"/>
      <c r="AB40" s="1369">
        <f ca="1">OFFSET(AB40,0,-2)+1</f>
        <v>8</v>
      </c>
      <c r="AC40" s="1369">
        <f ca="1">OFFSET(AC40,0,-1)+1</f>
        <v>9</v>
      </c>
      <c r="AD40" s="1369">
        <f ca="1">OFFSET(AD40,0,-1)+1</f>
        <v>10</v>
      </c>
      <c r="AE40" s="1369">
        <f ca="1">OFFSET(AE40,0,-1)+1</f>
        <v>11</v>
      </c>
      <c r="AF40" s="1369">
        <f ca="1">OFFSET(AF40,0,-1)+1</f>
        <v>12</v>
      </c>
      <c r="AG40" s="2765">
        <f ca="1">OFFSET(AG40,0,-1)+1</f>
        <v>13</v>
      </c>
      <c r="AH40" s="2765"/>
      <c r="AI40" s="1369">
        <f ca="1">OFFSET(AI40,0,-2)+1</f>
        <v>14</v>
      </c>
      <c r="AJ40" s="1163">
        <f ca="1">OFFSET(AJ40,0,-1)</f>
        <v>14</v>
      </c>
      <c r="AK40" s="1369">
        <f ca="1">OFFSET(AK40,0,-1)+1</f>
        <v>15</v>
      </c>
      <c r="AL40" s="446"/>
      <c r="AM40" s="446"/>
      <c r="AN40" s="446"/>
      <c r="AO40" s="446"/>
      <c r="AP40" s="446"/>
      <c r="AQ40" s="431">
        <v>0</v>
      </c>
    </row>
    <row r="41" spans="1:43" ht="24" customHeight="1">
      <c r="A41" s="1281" t="s">
        <v>233</v>
      </c>
      <c r="B41" s="1281"/>
      <c r="C41" s="1281"/>
      <c r="D41" s="1281"/>
      <c r="E41" s="2778">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122</v>
      </c>
      <c r="U41" s="236"/>
      <c r="V41" s="2766"/>
      <c r="W41" s="2767"/>
      <c r="X41" s="2767"/>
      <c r="Y41" s="2767"/>
      <c r="Z41" s="2767"/>
      <c r="AA41" s="2767"/>
      <c r="AB41" s="2768"/>
      <c r="AC41" s="2766" t="str">
        <f>INDEX(PT_DIFFERENTIATION_NTAR,MATCH(A41,PT_DIFFERENTIATION_NTAR_ID,0))</f>
        <v/>
      </c>
      <c r="AD41" s="2767"/>
      <c r="AE41" s="2767"/>
      <c r="AF41" s="2767"/>
      <c r="AG41" s="2767"/>
      <c r="AH41" s="2767"/>
      <c r="AI41" s="2767"/>
      <c r="AJ41" s="276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233</v>
      </c>
      <c r="B42" s="1281" t="s">
        <v>234</v>
      </c>
      <c r="C42" s="1281"/>
      <c r="D42" s="1281"/>
      <c r="E42" s="2779"/>
      <c r="F42" s="2778">
        <v>1</v>
      </c>
      <c r="G42" s="1281"/>
      <c r="H42" s="1281"/>
      <c r="I42" s="1281"/>
      <c r="J42" s="1281"/>
      <c r="K42" s="1281"/>
      <c r="L42" s="1282"/>
      <c r="M42" s="1283"/>
      <c r="N42" s="1283"/>
      <c r="O42" s="1283"/>
      <c r="P42" s="1371"/>
      <c r="Q42" s="287"/>
      <c r="R42" s="288"/>
      <c r="S42" s="1375" t="str">
        <f>INDEX(PT_DIFFERENTIATION_NUM_TER,MATCH(B42,PT_DIFFERENTIATION_TER_ID,0))</f>
        <v>.</v>
      </c>
      <c r="T42" s="244" t="s">
        <v>399</v>
      </c>
      <c r="U42" s="236"/>
      <c r="V42" s="2766"/>
      <c r="W42" s="2767"/>
      <c r="X42" s="2767"/>
      <c r="Y42" s="2767"/>
      <c r="Z42" s="2767"/>
      <c r="AA42" s="2767"/>
      <c r="AB42" s="2768"/>
      <c r="AC42" s="2766" t="str">
        <f>INDEX(PT_DIFFERENTIATION_TER,MATCH(B42,PT_DIFFERENTIATION_TER_ID,0))</f>
        <v/>
      </c>
      <c r="AD42" s="2767"/>
      <c r="AE42" s="2767"/>
      <c r="AF42" s="2767"/>
      <c r="AG42" s="2767"/>
      <c r="AH42" s="2767"/>
      <c r="AI42" s="2767"/>
      <c r="AJ42" s="2768"/>
      <c r="AK42" s="1176" t="s">
        <v>400</v>
      </c>
      <c r="AM42" s="435"/>
      <c r="AN42" s="435" t="str">
        <f t="shared" si="1"/>
        <v>Территория действия тарифа</v>
      </c>
      <c r="AO42" s="435"/>
      <c r="AP42" s="435"/>
      <c r="AQ42" s="1073">
        <v>23</v>
      </c>
    </row>
    <row r="43" spans="1:43" ht="24" customHeight="1">
      <c r="A43" s="1281" t="s">
        <v>233</v>
      </c>
      <c r="B43" s="1281" t="s">
        <v>234</v>
      </c>
      <c r="C43" s="1281" t="s">
        <v>235</v>
      </c>
      <c r="D43" s="1281"/>
      <c r="E43" s="2779"/>
      <c r="F43" s="2779"/>
      <c r="G43" s="2778">
        <v>1</v>
      </c>
      <c r="H43" s="1281"/>
      <c r="I43" s="1281"/>
      <c r="J43" s="1281"/>
      <c r="K43" s="1281"/>
      <c r="L43" s="1282"/>
      <c r="M43" s="1283"/>
      <c r="N43" s="1283"/>
      <c r="O43" s="1283"/>
      <c r="P43" s="289"/>
      <c r="Q43" s="287"/>
      <c r="R43" s="288"/>
      <c r="S43" s="1375" t="str">
        <f>INDEX(PT_DIFFERENTIATION_NUM_CS,MATCH(C43,PT_DIFFERENTIATION_CS_ID,0))</f>
        <v>..</v>
      </c>
      <c r="T43" s="245" t="s">
        <v>483</v>
      </c>
      <c r="U43" s="236"/>
      <c r="V43" s="2766"/>
      <c r="W43" s="2767"/>
      <c r="X43" s="2767"/>
      <c r="Y43" s="2767"/>
      <c r="Z43" s="2767"/>
      <c r="AA43" s="2767"/>
      <c r="AB43" s="2768"/>
      <c r="AC43" s="2766" t="str">
        <f>INDEX(PT_DIFFERENTIATION_CS,MATCH(C43,PT_DIFFERENTIATION_CS_ID,0))</f>
        <v/>
      </c>
      <c r="AD43" s="2767"/>
      <c r="AE43" s="2767"/>
      <c r="AF43" s="2767"/>
      <c r="AG43" s="2767"/>
      <c r="AH43" s="2767"/>
      <c r="AI43" s="2767"/>
      <c r="AJ43" s="2768"/>
      <c r="AK43" s="1176" t="s">
        <v>484</v>
      </c>
      <c r="AM43" s="435"/>
      <c r="AN43" s="435" t="str">
        <f t="shared" si="1"/>
        <v>Наименование централизованной системы холодного водоснабжения</v>
      </c>
      <c r="AO43" s="435"/>
      <c r="AP43" s="435"/>
      <c r="AQ43" s="1073">
        <v>23</v>
      </c>
    </row>
    <row r="44" spans="1:43" ht="24" customHeight="1">
      <c r="A44" s="1281" t="s">
        <v>233</v>
      </c>
      <c r="B44" s="1281" t="s">
        <v>234</v>
      </c>
      <c r="C44" s="1281" t="s">
        <v>235</v>
      </c>
      <c r="D44" s="1281" t="s">
        <v>498</v>
      </c>
      <c r="E44" s="2779"/>
      <c r="F44" s="2779"/>
      <c r="G44" s="2779"/>
      <c r="H44" s="2779"/>
      <c r="I44" s="2776" t="str">
        <f>S43&amp;".1"</f>
        <v>...1</v>
      </c>
      <c r="J44" s="1281"/>
      <c r="K44" s="1281"/>
      <c r="L44" s="1282"/>
      <c r="P44" s="2777">
        <v>1</v>
      </c>
      <c r="Q44" s="1368"/>
      <c r="R44" s="291"/>
      <c r="S44" s="1375" t="str">
        <f>$I44</f>
        <v>...1</v>
      </c>
      <c r="T44" s="221" t="s">
        <v>485</v>
      </c>
      <c r="U44" s="236"/>
      <c r="V44" s="2833"/>
      <c r="W44" s="2834"/>
      <c r="X44" s="2834"/>
      <c r="Y44" s="2834"/>
      <c r="Z44" s="2834"/>
      <c r="AA44" s="2834"/>
      <c r="AB44" s="2835"/>
      <c r="AC44" s="2836"/>
      <c r="AD44" s="2837"/>
      <c r="AE44" s="2837"/>
      <c r="AF44" s="2837"/>
      <c r="AG44" s="2837"/>
      <c r="AH44" s="2837"/>
      <c r="AI44" s="2837"/>
      <c r="AJ44" s="2838"/>
      <c r="AK44" s="1176" t="s">
        <v>486</v>
      </c>
      <c r="AM44" s="435"/>
      <c r="AN44" s="435" t="str">
        <f t="shared" si="1"/>
        <v>Наименование признака дифференциации</v>
      </c>
      <c r="AO44" s="435"/>
      <c r="AP44" s="435"/>
      <c r="AQ44" s="1073">
        <v>23</v>
      </c>
    </row>
    <row r="45" spans="1:43" ht="24" customHeight="1">
      <c r="A45" s="1281" t="s">
        <v>233</v>
      </c>
      <c r="B45" s="1281" t="s">
        <v>234</v>
      </c>
      <c r="C45" s="1281" t="s">
        <v>235</v>
      </c>
      <c r="D45" s="1281" t="s">
        <v>498</v>
      </c>
      <c r="E45" s="2779"/>
      <c r="F45" s="2779"/>
      <c r="G45" s="2779"/>
      <c r="H45" s="2779"/>
      <c r="I45" s="2787"/>
      <c r="J45" s="2776" t="str">
        <f>I44&amp;".1"</f>
        <v>...1.1</v>
      </c>
      <c r="K45" s="1281"/>
      <c r="L45" s="1282" t="s">
        <v>408</v>
      </c>
      <c r="P45" s="2777"/>
      <c r="Q45" s="2777">
        <v>1</v>
      </c>
      <c r="R45" s="292"/>
      <c r="S45" s="1375" t="str">
        <f>$J45</f>
        <v>...1.1</v>
      </c>
      <c r="T45" s="222" t="s">
        <v>409</v>
      </c>
      <c r="U45" s="236"/>
      <c r="V45" s="2769"/>
      <c r="W45" s="2770"/>
      <c r="X45" s="2770"/>
      <c r="Y45" s="2770"/>
      <c r="Z45" s="2770"/>
      <c r="AA45" s="2770"/>
      <c r="AB45" s="2771"/>
      <c r="AC45" s="2769"/>
      <c r="AD45" s="2770"/>
      <c r="AE45" s="2770"/>
      <c r="AF45" s="2770"/>
      <c r="AG45" s="2770"/>
      <c r="AH45" s="2770"/>
      <c r="AI45" s="2770"/>
      <c r="AJ45" s="2771"/>
      <c r="AK45" s="1225" t="s">
        <v>487</v>
      </c>
      <c r="AM45" s="435"/>
      <c r="AN45" s="435" t="str">
        <f t="shared" si="1"/>
        <v>Группа потребителей</v>
      </c>
      <c r="AO45" s="435"/>
      <c r="AP45" s="435"/>
      <c r="AQ45" s="1073">
        <v>23</v>
      </c>
    </row>
    <row r="46" spans="1:43" ht="24" customHeight="1">
      <c r="A46" s="1281" t="s">
        <v>233</v>
      </c>
      <c r="B46" s="1281" t="s">
        <v>234</v>
      </c>
      <c r="C46" s="1281" t="s">
        <v>235</v>
      </c>
      <c r="D46" s="1281" t="s">
        <v>498</v>
      </c>
      <c r="E46" s="2779"/>
      <c r="F46" s="2779"/>
      <c r="G46" s="2779"/>
      <c r="H46" s="2779"/>
      <c r="I46" s="2787"/>
      <c r="J46" s="2787"/>
      <c r="K46" s="2776" t="str">
        <f>J45&amp;".1"</f>
        <v>...1.1.1</v>
      </c>
      <c r="L46" s="1282"/>
      <c r="P46" s="2777"/>
      <c r="Q46" s="2777"/>
      <c r="R46" s="292">
        <v>1</v>
      </c>
      <c r="S46" s="1375" t="str">
        <f>$K46</f>
        <v>...1.1.1</v>
      </c>
      <c r="T46" s="1355"/>
      <c r="U46" s="236"/>
      <c r="V46" s="686"/>
      <c r="W46" s="686"/>
      <c r="X46" s="1175"/>
      <c r="Y46" s="2753"/>
      <c r="Z46" s="2619" t="s">
        <v>66</v>
      </c>
      <c r="AA46" s="2753"/>
      <c r="AB46" s="2619" t="s">
        <v>66</v>
      </c>
      <c r="AC46" s="686"/>
      <c r="AD46" s="686"/>
      <c r="AE46" s="1175"/>
      <c r="AF46" s="2753"/>
      <c r="AG46" s="2619" t="s">
        <v>66</v>
      </c>
      <c r="AH46" s="2788"/>
      <c r="AI46" s="2619" t="s">
        <v>66</v>
      </c>
      <c r="AJ46" s="1356"/>
      <c r="AK46" s="28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233</v>
      </c>
      <c r="B47" s="1281" t="s">
        <v>234</v>
      </c>
      <c r="C47" s="1281" t="s">
        <v>235</v>
      </c>
      <c r="D47" s="1281" t="s">
        <v>498</v>
      </c>
      <c r="E47" s="2779"/>
      <c r="F47" s="2779"/>
      <c r="G47" s="2779"/>
      <c r="H47" s="2779"/>
      <c r="I47" s="2787"/>
      <c r="J47" s="2787"/>
      <c r="K47" s="2776"/>
      <c r="L47" s="1282"/>
      <c r="P47" s="2777"/>
      <c r="Q47" s="2777"/>
      <c r="R47" s="292"/>
      <c r="S47" s="1374"/>
      <c r="T47" s="236"/>
      <c r="U47" s="236"/>
      <c r="V47" s="261"/>
      <c r="W47" s="261"/>
      <c r="X47" s="264" t="str">
        <f>Y46&amp;"-"&amp;AA46</f>
        <v>-</v>
      </c>
      <c r="Y47" s="2752"/>
      <c r="Z47" s="2619"/>
      <c r="AA47" s="2752"/>
      <c r="AB47" s="2619"/>
      <c r="AC47" s="261"/>
      <c r="AD47" s="261"/>
      <c r="AE47" s="264" t="str">
        <f>AF46&amp;"-"&amp;AH46</f>
        <v>-</v>
      </c>
      <c r="AF47" s="2752"/>
      <c r="AG47" s="2619"/>
      <c r="AH47" s="2789"/>
      <c r="AI47" s="2619"/>
      <c r="AJ47" s="1357"/>
      <c r="AK47" s="2832"/>
      <c r="AM47" s="435"/>
      <c r="AN47" s="435" t="str">
        <f t="shared" si="1"/>
        <v/>
      </c>
      <c r="AO47" s="435"/>
      <c r="AP47" s="435"/>
      <c r="AQ47" s="1073">
        <v>0</v>
      </c>
    </row>
    <row r="48" spans="1:43" ht="21" customHeight="1">
      <c r="A48" s="1281" t="s">
        <v>233</v>
      </c>
      <c r="B48" s="1281" t="s">
        <v>234</v>
      </c>
      <c r="C48" s="1281" t="s">
        <v>235</v>
      </c>
      <c r="D48" s="1281" t="s">
        <v>498</v>
      </c>
      <c r="E48" s="2779"/>
      <c r="F48" s="2779"/>
      <c r="G48" s="2779"/>
      <c r="H48" s="2779"/>
      <c r="I48" s="2787"/>
      <c r="J48" s="2776"/>
      <c r="K48" s="1281"/>
      <c r="L48" s="1282"/>
      <c r="P48" s="2777"/>
      <c r="Q48" s="2777"/>
      <c r="R48" s="291"/>
      <c r="S48" s="1196"/>
      <c r="T48" s="223" t="s">
        <v>488</v>
      </c>
      <c r="U48" s="302"/>
      <c r="V48" s="302"/>
      <c r="W48" s="302"/>
      <c r="X48" s="302"/>
      <c r="Y48" s="302"/>
      <c r="Z48" s="302"/>
      <c r="AA48" s="302"/>
      <c r="AB48" s="302"/>
      <c r="AC48" s="302"/>
      <c r="AD48" s="302"/>
      <c r="AE48" s="302"/>
      <c r="AF48" s="302"/>
      <c r="AG48" s="302"/>
      <c r="AH48" s="302"/>
      <c r="AI48" s="302"/>
      <c r="AJ48" s="302"/>
      <c r="AK48" s="1176" t="s">
        <v>489</v>
      </c>
      <c r="AM48" s="435"/>
      <c r="AN48" s="435" t="str">
        <f t="shared" si="1"/>
        <v>Добавить значение признака дифференциации</v>
      </c>
      <c r="AO48" s="435"/>
      <c r="AP48" s="435"/>
      <c r="AQ48" s="1073">
        <v>20</v>
      </c>
    </row>
    <row r="49" spans="1:43" ht="21.95" customHeight="1">
      <c r="A49" s="1281" t="s">
        <v>233</v>
      </c>
      <c r="B49" s="1281" t="s">
        <v>234</v>
      </c>
      <c r="C49" s="1281" t="s">
        <v>235</v>
      </c>
      <c r="D49" s="1281" t="s">
        <v>498</v>
      </c>
      <c r="E49" s="2779"/>
      <c r="F49" s="2779"/>
      <c r="G49" s="2779"/>
      <c r="H49" s="2779"/>
      <c r="I49" s="2776"/>
      <c r="J49" s="1281"/>
      <c r="K49" s="1281"/>
      <c r="L49" s="1282"/>
      <c r="P49" s="2777"/>
      <c r="Q49" s="1368"/>
      <c r="R49" s="291"/>
      <c r="S49" s="1196"/>
      <c r="T49" s="300" t="s">
        <v>414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233</v>
      </c>
      <c r="B50" s="1281" t="s">
        <v>234</v>
      </c>
      <c r="C50" s="1281" t="s">
        <v>235</v>
      </c>
      <c r="D50" s="1281" t="s">
        <v>498</v>
      </c>
      <c r="E50" s="2779"/>
      <c r="F50" s="2779"/>
      <c r="G50" s="2779"/>
      <c r="H50" s="2778"/>
      <c r="I50" s="1281"/>
      <c r="J50" s="1281"/>
      <c r="K50" s="1281"/>
      <c r="L50" s="1282"/>
      <c r="M50" s="1283"/>
      <c r="N50" s="1283"/>
      <c r="O50" s="472"/>
      <c r="P50" s="295"/>
      <c r="Q50" s="310"/>
      <c r="R50" s="290"/>
      <c r="S50" s="1196"/>
      <c r="T50" s="307" t="s">
        <v>490</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520" customFormat="1" ht="0" hidden="1" customHeight="1">
      <c r="A51" s="1261" t="s">
        <v>233</v>
      </c>
      <c r="B51" s="1261" t="s">
        <v>234</v>
      </c>
      <c r="C51" s="1232"/>
      <c r="D51" s="1232"/>
      <c r="E51" s="2779"/>
      <c r="F51" s="2778"/>
      <c r="G51" s="1232"/>
      <c r="H51" s="1232"/>
      <c r="I51" s="1232"/>
      <c r="J51" s="1232"/>
      <c r="K51" s="1232"/>
      <c r="L51" s="1376"/>
      <c r="M51" s="1239"/>
      <c r="N51" s="1239"/>
      <c r="P51" s="1234"/>
      <c r="Q51" s="1235"/>
      <c r="R51" s="1234"/>
      <c r="S51" s="1240"/>
      <c r="T51" s="1243" t="s">
        <v>161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520" customFormat="1" ht="0" hidden="1" customHeight="1">
      <c r="A52" s="1261" t="s">
        <v>233</v>
      </c>
      <c r="B52" s="1261"/>
      <c r="C52" s="1261"/>
      <c r="D52" s="1261"/>
      <c r="E52" s="2778"/>
      <c r="F52" s="1261"/>
      <c r="G52" s="1261"/>
      <c r="H52" s="1261"/>
      <c r="I52" s="1261"/>
      <c r="J52" s="1261"/>
      <c r="K52" s="1261"/>
      <c r="L52" s="1264"/>
      <c r="M52" s="1239"/>
      <c r="N52" s="1239"/>
      <c r="O52" s="453"/>
      <c r="P52" s="315"/>
      <c r="Q52" s="1262"/>
      <c r="R52" s="315"/>
      <c r="S52" s="1240"/>
      <c r="T52" s="1243" t="s">
        <v>162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520"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163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786"/>
      <c r="U55" s="2786"/>
      <c r="V55" s="2786"/>
      <c r="W55" s="2786"/>
      <c r="X55" s="2786"/>
      <c r="Y55" s="2786"/>
      <c r="Z55" s="2786"/>
      <c r="AA55" s="2786"/>
      <c r="AB55" s="2786"/>
      <c r="AC55" s="2786"/>
      <c r="AD55" s="2786"/>
      <c r="AE55" s="2786"/>
      <c r="AF55" s="2786"/>
      <c r="AG55" s="2786"/>
      <c r="AH55" s="2786"/>
      <c r="AI55" s="2786"/>
      <c r="AJ55" s="2786"/>
      <c r="AK55" s="2786"/>
      <c r="AQ55" s="1073">
        <v>14</v>
      </c>
    </row>
    <row r="56" spans="1:43" ht="14.65" customHeight="1">
      <c r="O56" s="472"/>
      <c r="AQ56" s="1073">
        <v>14</v>
      </c>
    </row>
    <row r="57" spans="1:43" ht="14.65" customHeight="1">
      <c r="O57" s="472"/>
      <c r="S57" s="1171"/>
      <c r="T57" s="2786"/>
      <c r="U57" s="2786"/>
      <c r="V57" s="2786"/>
      <c r="W57" s="2786"/>
      <c r="X57" s="2786"/>
      <c r="Y57" s="2786"/>
      <c r="Z57" s="2786"/>
      <c r="AA57" s="2786"/>
      <c r="AB57" s="2786"/>
      <c r="AC57" s="2786"/>
      <c r="AD57" s="2786"/>
      <c r="AE57" s="2786"/>
      <c r="AF57" s="2786"/>
      <c r="AG57" s="2786"/>
      <c r="AH57" s="2786"/>
      <c r="AI57" s="2786"/>
      <c r="AJ57" s="2786"/>
      <c r="AK57" s="2786"/>
      <c r="AQ57" s="1073">
        <v>14</v>
      </c>
    </row>
    <row r="58" spans="1:43" ht="22.5" hidden="1" customHeight="1">
      <c r="A58" s="1078" t="s">
        <v>81</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519" hidden="1"/>
    <col min="2" max="2" width="11" style="2519" hidden="1" customWidth="1"/>
    <col min="3" max="3" width="10.5703125" style="2519" hidden="1"/>
    <col min="4" max="4" width="11.85546875" style="2519" hidden="1" customWidth="1"/>
    <col min="5" max="5" width="10" style="2519" hidden="1" customWidth="1"/>
    <col min="6" max="6" width="8.7109375" style="2519" hidden="1" customWidth="1"/>
    <col min="7" max="7" width="7.5703125" style="2519" hidden="1" customWidth="1"/>
    <col min="8" max="8" width="11.42578125" style="2519" hidden="1" customWidth="1"/>
    <col min="9" max="9" width="14.140625" style="2519" hidden="1" customWidth="1"/>
    <col min="10" max="10" width="9.85546875" style="2519" hidden="1" customWidth="1"/>
    <col min="11" max="11" width="14.7109375" style="2519" hidden="1" customWidth="1"/>
    <col min="12" max="12" width="19.140625" style="2545" hidden="1" customWidth="1"/>
    <col min="13" max="14" width="12.28515625" style="2546" hidden="1" customWidth="1"/>
    <col min="15" max="15" width="23.42578125" style="2546" hidden="1" customWidth="1"/>
    <col min="16" max="16" width="3" style="2547" customWidth="1"/>
    <col min="17" max="18" width="3" style="2548" customWidth="1"/>
    <col min="19" max="19" width="12" style="2549" customWidth="1"/>
    <col min="20" max="20" width="35" style="2513" customWidth="1"/>
    <col min="21" max="21" width="0.140625" style="2513" customWidth="1"/>
    <col min="22" max="24" width="24.7109375" style="2513" hidden="1" customWidth="1"/>
    <col min="25" max="25" width="11.7109375" style="2513" hidden="1" customWidth="1"/>
    <col min="26" max="26" width="3.7109375" style="2513" hidden="1" customWidth="1"/>
    <col min="27" max="27" width="11.7109375" style="2513" hidden="1" customWidth="1"/>
    <col min="28" max="28" width="8.5703125" style="2513" hidden="1" customWidth="1"/>
    <col min="29" max="29" width="24.7109375" style="2513" customWidth="1"/>
    <col min="30" max="31" width="24" style="2513" customWidth="1"/>
    <col min="32" max="32" width="11" style="2513" customWidth="1"/>
    <col min="33" max="33" width="3.7109375" style="2513" customWidth="1"/>
    <col min="34" max="34" width="11" style="2513" customWidth="1"/>
    <col min="35" max="35" width="8.5703125" style="2513" hidden="1" customWidth="1"/>
    <col min="36" max="36" width="4" style="2513" customWidth="1"/>
    <col min="37" max="37" width="115" style="2513" customWidth="1"/>
    <col min="38" max="42" width="10" style="2520" customWidth="1"/>
    <col min="43" max="43" width="10.5703125" style="2513" hidden="1"/>
  </cols>
  <sheetData>
    <row r="1" spans="1:43" ht="22.5" hidden="1" customHeight="1">
      <c r="X1" s="263"/>
      <c r="Y1" s="263"/>
      <c r="AE1" s="263"/>
      <c r="AF1" s="263"/>
      <c r="AQ1" s="1073" t="s">
        <v>14</v>
      </c>
    </row>
    <row r="2" spans="1:43" ht="23.25" hidden="1" customHeight="1">
      <c r="A2" s="1281"/>
      <c r="B2" s="1281"/>
      <c r="C2" s="1281"/>
      <c r="D2" s="1281"/>
      <c r="E2" s="2778">
        <v>1</v>
      </c>
      <c r="F2" s="1281"/>
      <c r="G2" s="1281"/>
      <c r="H2" s="1281"/>
      <c r="I2" s="1281"/>
      <c r="J2" s="1281"/>
      <c r="K2" s="1281"/>
      <c r="L2" s="1282"/>
      <c r="M2" s="1283"/>
      <c r="N2" s="1283"/>
      <c r="O2" s="1283"/>
      <c r="P2" s="296"/>
      <c r="Q2" s="295"/>
      <c r="R2" s="290"/>
      <c r="S2" s="1375" t="e">
        <f>INDEX(PT_DIFFERENTIATION_NUM_NTAR,MATCH(A2,PT_DIFFERENTIATION_NTAR_ID,0))</f>
        <v>#N/A</v>
      </c>
      <c r="T2" s="234" t="s">
        <v>122</v>
      </c>
      <c r="U2" s="236"/>
      <c r="V2" s="2766"/>
      <c r="W2" s="2767"/>
      <c r="X2" s="2767"/>
      <c r="Y2" s="2767"/>
      <c r="Z2" s="2767"/>
      <c r="AA2" s="2767"/>
      <c r="AB2" s="2768"/>
      <c r="AC2" s="2766" t="e">
        <f>INDEX(PT_DIFFERENTIATION_NTAR,MATCH(A2,PT_DIFFERENTIATION_NTAR_ID,0))</f>
        <v>#N/A</v>
      </c>
      <c r="AD2" s="2767"/>
      <c r="AE2" s="2767"/>
      <c r="AF2" s="2767"/>
      <c r="AG2" s="2767"/>
      <c r="AH2" s="2767"/>
      <c r="AI2" s="2767"/>
      <c r="AJ2" s="276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779"/>
      <c r="F3" s="2778">
        <v>1</v>
      </c>
      <c r="G3" s="1281"/>
      <c r="H3" s="1281"/>
      <c r="I3" s="1281"/>
      <c r="J3" s="1281"/>
      <c r="K3" s="1281"/>
      <c r="L3" s="1282"/>
      <c r="M3" s="1283"/>
      <c r="N3" s="1283"/>
      <c r="O3" s="1283"/>
      <c r="P3" s="1371"/>
      <c r="Q3" s="287"/>
      <c r="R3" s="288"/>
      <c r="S3" s="1375" t="e">
        <f>INDEX(PT_DIFFERENTIATION_NUM_TER,MATCH(B3,PT_DIFFERENTIATION_TER_ID,0))</f>
        <v>#N/A</v>
      </c>
      <c r="T3" s="244" t="s">
        <v>399</v>
      </c>
      <c r="U3" s="236"/>
      <c r="V3" s="2766"/>
      <c r="W3" s="2767"/>
      <c r="X3" s="2767"/>
      <c r="Y3" s="2767"/>
      <c r="Z3" s="2767"/>
      <c r="AA3" s="2767"/>
      <c r="AB3" s="2768"/>
      <c r="AC3" s="2766" t="e">
        <f>INDEX(PT_DIFFERENTIATION_TER,MATCH(B3,PT_DIFFERENTIATION_TER_ID,0))</f>
        <v>#N/A</v>
      </c>
      <c r="AD3" s="2767"/>
      <c r="AE3" s="2767"/>
      <c r="AF3" s="2767"/>
      <c r="AG3" s="2767"/>
      <c r="AH3" s="2767"/>
      <c r="AI3" s="2767"/>
      <c r="AJ3" s="2768"/>
      <c r="AK3" s="1176" t="s">
        <v>400</v>
      </c>
      <c r="AM3" s="435"/>
      <c r="AN3" s="435" t="str">
        <f t="shared" si="0"/>
        <v>Территория действия тарифа</v>
      </c>
      <c r="AO3" s="435"/>
      <c r="AP3" s="435"/>
      <c r="AQ3" s="1073">
        <v>0</v>
      </c>
    </row>
    <row r="4" spans="1:43" ht="23.25" hidden="1" customHeight="1">
      <c r="A4" s="1281"/>
      <c r="B4" s="1281"/>
      <c r="C4" s="1281"/>
      <c r="D4" s="1281"/>
      <c r="E4" s="2779"/>
      <c r="F4" s="2779"/>
      <c r="G4" s="2778">
        <v>1</v>
      </c>
      <c r="H4" s="1281"/>
      <c r="I4" s="1281"/>
      <c r="J4" s="1281"/>
      <c r="K4" s="1281"/>
      <c r="L4" s="1282"/>
      <c r="M4" s="1283"/>
      <c r="N4" s="1283"/>
      <c r="O4" s="1283"/>
      <c r="P4" s="289"/>
      <c r="Q4" s="287"/>
      <c r="R4" s="288"/>
      <c r="S4" s="1375" t="e">
        <f>INDEX(PT_DIFFERENTIATION_NUM_CS,MATCH(C4,PT_DIFFERENTIATION_CS_ID,0))</f>
        <v>#N/A</v>
      </c>
      <c r="T4" s="245" t="s">
        <v>483</v>
      </c>
      <c r="U4" s="236"/>
      <c r="V4" s="2766"/>
      <c r="W4" s="2767"/>
      <c r="X4" s="2767"/>
      <c r="Y4" s="2767"/>
      <c r="Z4" s="2767"/>
      <c r="AA4" s="2767"/>
      <c r="AB4" s="2768"/>
      <c r="AC4" s="2766" t="e">
        <f>INDEX(PT_DIFFERENTIATION_CS,MATCH(C4,PT_DIFFERENTIATION_CS_ID,0))</f>
        <v>#N/A</v>
      </c>
      <c r="AD4" s="2767"/>
      <c r="AE4" s="2767"/>
      <c r="AF4" s="2767"/>
      <c r="AG4" s="2767"/>
      <c r="AH4" s="2767"/>
      <c r="AI4" s="2767"/>
      <c r="AJ4" s="2768"/>
      <c r="AK4" s="1176" t="s">
        <v>484</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779"/>
      <c r="F5" s="2779"/>
      <c r="G5" s="2779"/>
      <c r="H5" s="2779"/>
      <c r="I5" s="2776" t="e">
        <f>S4&amp;".1"</f>
        <v>#N/A</v>
      </c>
      <c r="J5" s="1281"/>
      <c r="K5" s="1281"/>
      <c r="L5" s="1282"/>
      <c r="P5" s="2777">
        <v>1</v>
      </c>
      <c r="Q5" s="1368"/>
      <c r="R5" s="291"/>
      <c r="S5" s="1375" t="e">
        <f>$I5</f>
        <v>#N/A</v>
      </c>
      <c r="T5" s="221" t="s">
        <v>485</v>
      </c>
      <c r="U5" s="236"/>
      <c r="V5" s="2833"/>
      <c r="W5" s="2834"/>
      <c r="X5" s="2834"/>
      <c r="Y5" s="2834"/>
      <c r="Z5" s="2834"/>
      <c r="AA5" s="2834"/>
      <c r="AB5" s="2835"/>
      <c r="AC5" s="2836"/>
      <c r="AD5" s="2837"/>
      <c r="AE5" s="2837"/>
      <c r="AF5" s="2837"/>
      <c r="AG5" s="2837"/>
      <c r="AH5" s="2837"/>
      <c r="AI5" s="2837"/>
      <c r="AJ5" s="2838"/>
      <c r="AK5" s="1176" t="s">
        <v>486</v>
      </c>
      <c r="AM5" s="435"/>
      <c r="AN5" s="435" t="str">
        <f t="shared" si="0"/>
        <v>Наименование признака дифференциации</v>
      </c>
      <c r="AO5" s="435"/>
      <c r="AP5" s="435"/>
      <c r="AQ5" s="1073">
        <v>0</v>
      </c>
    </row>
    <row r="6" spans="1:43" ht="23.25" hidden="1" customHeight="1">
      <c r="A6" s="1281"/>
      <c r="B6" s="1281"/>
      <c r="C6" s="1281"/>
      <c r="D6" s="1281"/>
      <c r="E6" s="2779"/>
      <c r="F6" s="2779"/>
      <c r="G6" s="2779"/>
      <c r="H6" s="2779"/>
      <c r="I6" s="2787"/>
      <c r="J6" s="2776" t="e">
        <f>I5&amp;".1"</f>
        <v>#N/A</v>
      </c>
      <c r="K6" s="1281"/>
      <c r="L6" s="1282" t="s">
        <v>408</v>
      </c>
      <c r="P6" s="2777"/>
      <c r="Q6" s="2777">
        <v>1</v>
      </c>
      <c r="R6" s="292"/>
      <c r="S6" s="1375" t="e">
        <f>$J6</f>
        <v>#N/A</v>
      </c>
      <c r="T6" s="222" t="s">
        <v>409</v>
      </c>
      <c r="U6" s="236"/>
      <c r="V6" s="2769"/>
      <c r="W6" s="2770"/>
      <c r="X6" s="2770"/>
      <c r="Y6" s="2770"/>
      <c r="Z6" s="2770"/>
      <c r="AA6" s="2770"/>
      <c r="AB6" s="2771"/>
      <c r="AC6" s="2769"/>
      <c r="AD6" s="2770"/>
      <c r="AE6" s="2770"/>
      <c r="AF6" s="2770"/>
      <c r="AG6" s="2770"/>
      <c r="AH6" s="2770"/>
      <c r="AI6" s="2770"/>
      <c r="AJ6" s="2771"/>
      <c r="AK6" s="1225" t="s">
        <v>487</v>
      </c>
      <c r="AM6" s="435"/>
      <c r="AN6" s="435" t="str">
        <f t="shared" si="0"/>
        <v>Группа потребителей</v>
      </c>
      <c r="AO6" s="435"/>
      <c r="AP6" s="435"/>
      <c r="AQ6" s="1073">
        <v>0</v>
      </c>
    </row>
    <row r="7" spans="1:43" ht="23.25" hidden="1" customHeight="1">
      <c r="A7" s="1281"/>
      <c r="B7" s="1281"/>
      <c r="C7" s="1281"/>
      <c r="D7" s="1281"/>
      <c r="E7" s="2779"/>
      <c r="F7" s="2779"/>
      <c r="G7" s="2779"/>
      <c r="H7" s="2779"/>
      <c r="I7" s="2787"/>
      <c r="J7" s="2787"/>
      <c r="K7" s="2776" t="e">
        <f>J6&amp;".1"</f>
        <v>#N/A</v>
      </c>
      <c r="L7" s="1282"/>
      <c r="P7" s="2777"/>
      <c r="Q7" s="2777"/>
      <c r="R7" s="292">
        <v>1</v>
      </c>
      <c r="S7" s="1375" t="e">
        <f>$K7</f>
        <v>#N/A</v>
      </c>
      <c r="T7" s="1355"/>
      <c r="U7" s="236"/>
      <c r="V7" s="686"/>
      <c r="W7" s="686"/>
      <c r="X7" s="1175"/>
      <c r="Y7" s="2753"/>
      <c r="Z7" s="2619" t="s">
        <v>66</v>
      </c>
      <c r="AA7" s="2753"/>
      <c r="AB7" s="2619" t="s">
        <v>66</v>
      </c>
      <c r="AC7" s="686"/>
      <c r="AD7" s="686"/>
      <c r="AE7" s="1175"/>
      <c r="AF7" s="2753"/>
      <c r="AG7" s="2619" t="s">
        <v>66</v>
      </c>
      <c r="AH7" s="2788"/>
      <c r="AI7" s="2619" t="s">
        <v>66</v>
      </c>
      <c r="AJ7" s="1356"/>
      <c r="AK7" s="28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779"/>
      <c r="F8" s="2779"/>
      <c r="G8" s="2779"/>
      <c r="H8" s="2779"/>
      <c r="I8" s="2787"/>
      <c r="J8" s="2787"/>
      <c r="K8" s="2776"/>
      <c r="L8" s="1282"/>
      <c r="P8" s="2777"/>
      <c r="Q8" s="2777"/>
      <c r="R8" s="292"/>
      <c r="S8" s="1374"/>
      <c r="T8" s="236"/>
      <c r="U8" s="236"/>
      <c r="V8" s="261"/>
      <c r="W8" s="261"/>
      <c r="X8" s="264" t="str">
        <f>Y7&amp;"-"&amp;AA7</f>
        <v>-</v>
      </c>
      <c r="Y8" s="2752"/>
      <c r="Z8" s="2619"/>
      <c r="AA8" s="2752"/>
      <c r="AB8" s="2619"/>
      <c r="AC8" s="261"/>
      <c r="AD8" s="261"/>
      <c r="AE8" s="264" t="str">
        <f>AF7&amp;"-"&amp;AH7</f>
        <v>-</v>
      </c>
      <c r="AF8" s="2752"/>
      <c r="AG8" s="2619"/>
      <c r="AH8" s="2789"/>
      <c r="AI8" s="2619"/>
      <c r="AJ8" s="1357"/>
      <c r="AK8" s="2832"/>
      <c r="AM8" s="435"/>
      <c r="AN8" s="435" t="str">
        <f t="shared" si="0"/>
        <v/>
      </c>
      <c r="AO8" s="435"/>
      <c r="AP8" s="435"/>
      <c r="AQ8" s="1073">
        <v>0</v>
      </c>
    </row>
    <row r="9" spans="1:43" ht="21" hidden="1" customHeight="1">
      <c r="A9" s="1281"/>
      <c r="B9" s="1281"/>
      <c r="C9" s="1281"/>
      <c r="D9" s="1281"/>
      <c r="E9" s="2779"/>
      <c r="F9" s="2779"/>
      <c r="G9" s="2779"/>
      <c r="H9" s="2779"/>
      <c r="I9" s="2787"/>
      <c r="J9" s="2776"/>
      <c r="K9" s="1281"/>
      <c r="L9" s="1282"/>
      <c r="P9" s="2777"/>
      <c r="Q9" s="2777"/>
      <c r="R9" s="291"/>
      <c r="S9" s="1196"/>
      <c r="T9" s="223" t="s">
        <v>488</v>
      </c>
      <c r="U9" s="302"/>
      <c r="V9" s="302"/>
      <c r="W9" s="302"/>
      <c r="X9" s="302"/>
      <c r="Y9" s="302"/>
      <c r="Z9" s="302"/>
      <c r="AA9" s="302"/>
      <c r="AB9" s="302"/>
      <c r="AC9" s="302"/>
      <c r="AD9" s="302"/>
      <c r="AE9" s="302"/>
      <c r="AF9" s="302"/>
      <c r="AG9" s="302"/>
      <c r="AH9" s="302"/>
      <c r="AI9" s="302"/>
      <c r="AJ9" s="302"/>
      <c r="AK9" s="1176" t="s">
        <v>489</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779"/>
      <c r="F10" s="2779"/>
      <c r="G10" s="2779"/>
      <c r="H10" s="2779"/>
      <c r="I10" s="2776"/>
      <c r="J10" s="1281"/>
      <c r="K10" s="1281"/>
      <c r="L10" s="1282"/>
      <c r="P10" s="2777"/>
      <c r="Q10" s="1368"/>
      <c r="R10" s="291"/>
      <c r="S10" s="1196"/>
      <c r="T10" s="300" t="s">
        <v>414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779"/>
      <c r="F11" s="2779"/>
      <c r="G11" s="2779"/>
      <c r="H11" s="2778"/>
      <c r="I11" s="1281"/>
      <c r="J11" s="1281"/>
      <c r="K11" s="1281"/>
      <c r="L11" s="1282"/>
      <c r="M11" s="1283"/>
      <c r="N11" s="1283"/>
      <c r="O11" s="472"/>
      <c r="P11" s="295"/>
      <c r="Q11" s="310"/>
      <c r="R11" s="290"/>
      <c r="S11" s="1196"/>
      <c r="T11" s="307" t="s">
        <v>490</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520" customFormat="1" ht="14.25" hidden="1" customHeight="1">
      <c r="A12" s="1261"/>
      <c r="B12" s="1261"/>
      <c r="C12" s="1232"/>
      <c r="D12" s="1232"/>
      <c r="E12" s="2779"/>
      <c r="F12" s="2778"/>
      <c r="G12" s="1232"/>
      <c r="H12" s="1232"/>
      <c r="I12" s="1232"/>
      <c r="J12" s="1232"/>
      <c r="K12" s="1232"/>
      <c r="L12" s="1376"/>
      <c r="M12" s="1239"/>
      <c r="N12" s="1239"/>
      <c r="P12" s="1234"/>
      <c r="Q12" s="1235"/>
      <c r="R12" s="1234"/>
      <c r="S12" s="1240"/>
      <c r="T12" s="1243" t="s">
        <v>161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520" customFormat="1" ht="14.25" hidden="1" customHeight="1">
      <c r="A13" s="1261"/>
      <c r="B13" s="1261"/>
      <c r="C13" s="1261"/>
      <c r="D13" s="1261"/>
      <c r="E13" s="2778"/>
      <c r="F13" s="1261"/>
      <c r="G13" s="1261"/>
      <c r="H13" s="1261"/>
      <c r="I13" s="1261"/>
      <c r="J13" s="1261"/>
      <c r="K13" s="1261"/>
      <c r="L13" s="1264"/>
      <c r="M13" s="1239"/>
      <c r="N13" s="1239"/>
      <c r="O13" s="453"/>
      <c r="P13" s="315"/>
      <c r="Q13" s="1262"/>
      <c r="R13" s="315"/>
      <c r="S13" s="1240"/>
      <c r="T13" s="1243" t="s">
        <v>162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780"/>
      <c r="AG15" s="2781" t="s">
        <v>66</v>
      </c>
      <c r="AH15" s="2780"/>
      <c r="AI15" s="2781" t="s">
        <v>66</v>
      </c>
      <c r="AQ15" s="1073">
        <v>0</v>
      </c>
    </row>
    <row r="16" spans="1:43" ht="14.25" hidden="1" customHeight="1">
      <c r="AC16" s="1278"/>
      <c r="AD16" s="1278"/>
      <c r="AE16" s="264" t="str">
        <f>AF15&amp;"-"&amp;AH15</f>
        <v>-</v>
      </c>
      <c r="AF16" s="2781"/>
      <c r="AG16" s="2781"/>
      <c r="AH16" s="2781"/>
      <c r="AI16" s="2781"/>
      <c r="AQ16" s="1073">
        <v>0</v>
      </c>
    </row>
    <row r="17" spans="1:43" ht="14.25" hidden="1" customHeight="1">
      <c r="AI17" s="263"/>
      <c r="AQ17" s="1073">
        <v>0</v>
      </c>
    </row>
    <row r="18" spans="1:43" s="2519" customFormat="1" ht="22.5" hidden="1" customHeight="1">
      <c r="L18" s="1365"/>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519"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519" customFormat="1" ht="12" hidden="1" customHeight="1">
      <c r="L20" s="1365"/>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74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49"/>
      <c r="U24" s="2749"/>
      <c r="V24" s="2749"/>
      <c r="W24" s="2749"/>
      <c r="X24" s="2749"/>
      <c r="Y24" s="2749"/>
      <c r="Z24" s="2749"/>
      <c r="AA24" s="2749"/>
      <c r="AB24" s="2749"/>
      <c r="AC24" s="2749"/>
      <c r="AD24" s="2749"/>
      <c r="AE24" s="2749"/>
      <c r="AF24" s="2749"/>
      <c r="AG24" s="2749"/>
      <c r="AH24" s="2749"/>
      <c r="AI24" s="1161"/>
      <c r="AQ24" s="1073">
        <v>14</v>
      </c>
    </row>
    <row r="25" spans="1:43" ht="14.65" customHeight="1">
      <c r="Q25" s="311"/>
      <c r="R25" s="311"/>
      <c r="S25" s="2696" t="str">
        <f>IF(org=0,"Не определено",org)</f>
        <v>ООО "Ноябрьская ПГЭ"</v>
      </c>
      <c r="T25" s="2696"/>
      <c r="U25" s="2696"/>
      <c r="V25" s="2696"/>
      <c r="W25" s="2696"/>
      <c r="X25" s="2696"/>
      <c r="Y25" s="2696"/>
      <c r="Z25" s="2696"/>
      <c r="AA25" s="2696"/>
      <c r="AB25" s="2696"/>
      <c r="AC25" s="2696"/>
      <c r="AD25" s="2696"/>
      <c r="AE25" s="2696"/>
      <c r="AF25" s="2696"/>
      <c r="AG25" s="2696"/>
      <c r="AH25" s="2696"/>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529" customFormat="1" ht="25.5" hidden="1" customHeight="1">
      <c r="A27" s="1286"/>
      <c r="B27" s="1286"/>
      <c r="C27" s="1286"/>
      <c r="D27" s="1286"/>
      <c r="E27" s="1286"/>
      <c r="F27" s="1286"/>
      <c r="G27" s="1286"/>
      <c r="H27" s="1286"/>
      <c r="I27" s="1286"/>
      <c r="J27" s="1286"/>
      <c r="K27" s="1286"/>
      <c r="L27" s="1287"/>
      <c r="M27" s="1286"/>
      <c r="N27" s="1286"/>
      <c r="O27" s="1286"/>
      <c r="S27" s="2772" t="s">
        <v>42</v>
      </c>
      <c r="T27" s="2772"/>
      <c r="U27" s="1290"/>
      <c r="V27" s="2754" t="str">
        <f>IF(TITLE_NAME_OR_PR_CHANGE="",IF(TITLE_NAME_OR_PR="","",TITLE_NAME_OR_PR),TITLE_NAME_OR_PR_CHANGE)</f>
        <v/>
      </c>
      <c r="W27" s="2754"/>
      <c r="X27" s="2754"/>
      <c r="Y27" s="2754"/>
      <c r="Z27" s="2754"/>
      <c r="AA27" s="2754"/>
      <c r="AB27" s="262"/>
      <c r="AC27" s="2754" t="str">
        <f>IF(TITLE_NAME_OR_PR_CHANGE="",IF(TITLE_NAME_OR_PR="","",TITLE_NAME_OR_PR),TITLE_NAME_OR_PR_CHANGE)</f>
        <v/>
      </c>
      <c r="AD27" s="2754"/>
      <c r="AE27" s="2754"/>
      <c r="AF27" s="2754"/>
      <c r="AG27" s="2754"/>
      <c r="AH27" s="2754"/>
      <c r="AI27" s="262"/>
      <c r="AJ27" s="262"/>
      <c r="AK27" s="216"/>
      <c r="AL27" s="303"/>
      <c r="AM27" s="303"/>
      <c r="AN27" s="303"/>
      <c r="AO27" s="303"/>
      <c r="AP27" s="303"/>
      <c r="AQ27" s="353">
        <v>0</v>
      </c>
    </row>
    <row r="28" spans="1:43" s="2529" customFormat="1" ht="18.75" hidden="1" customHeight="1">
      <c r="A28" s="1286"/>
      <c r="B28" s="1286"/>
      <c r="C28" s="1286"/>
      <c r="D28" s="1286"/>
      <c r="E28" s="1286"/>
      <c r="F28" s="1286"/>
      <c r="G28" s="1286"/>
      <c r="H28" s="1286"/>
      <c r="I28" s="1286"/>
      <c r="J28" s="1286"/>
      <c r="K28" s="1286"/>
      <c r="L28" s="1287"/>
      <c r="M28" s="1286"/>
      <c r="N28" s="1286"/>
      <c r="O28" s="1286"/>
      <c r="S28" s="2772" t="s">
        <v>422</v>
      </c>
      <c r="T28" s="2772"/>
      <c r="U28" s="1290"/>
      <c r="V28" s="2755">
        <f>IF(TITLE_DATE_PR_CHANGE="",IF(TITLE_DATE_PR="","",TITLE_DATE_PR),TITLE_DATE_PR_CHANGE)</f>
        <v>45583</v>
      </c>
      <c r="W28" s="2755"/>
      <c r="X28" s="2755"/>
      <c r="Y28" s="2755"/>
      <c r="Z28" s="2755"/>
      <c r="AA28" s="2755"/>
      <c r="AB28" s="262"/>
      <c r="AC28" s="2755">
        <f>IF(TITLE_DATE_PR_CHANGE="",IF(TITLE_DATE_PR="","",TITLE_DATE_PR),TITLE_DATE_PR_CHANGE)</f>
        <v>45583</v>
      </c>
      <c r="AD28" s="2755"/>
      <c r="AE28" s="2755"/>
      <c r="AF28" s="2755"/>
      <c r="AG28" s="2755"/>
      <c r="AH28" s="2755"/>
      <c r="AI28" s="262"/>
      <c r="AJ28" s="262"/>
      <c r="AK28" s="216"/>
      <c r="AL28" s="303"/>
      <c r="AM28" s="303"/>
      <c r="AN28" s="303"/>
      <c r="AO28" s="303"/>
      <c r="AP28" s="303"/>
      <c r="AQ28" s="353">
        <v>0</v>
      </c>
    </row>
    <row r="29" spans="1:43" s="2529" customFormat="1" ht="18.75" hidden="1" customHeight="1">
      <c r="A29" s="1286"/>
      <c r="B29" s="1286"/>
      <c r="C29" s="1286"/>
      <c r="D29" s="1286"/>
      <c r="E29" s="1286"/>
      <c r="F29" s="1286"/>
      <c r="G29" s="1286"/>
      <c r="H29" s="1286"/>
      <c r="I29" s="1286"/>
      <c r="J29" s="1286"/>
      <c r="K29" s="1286"/>
      <c r="L29" s="1287"/>
      <c r="M29" s="1286"/>
      <c r="N29" s="1286"/>
      <c r="O29" s="1286"/>
      <c r="S29" s="2772" t="s">
        <v>423</v>
      </c>
      <c r="T29" s="2772"/>
      <c r="U29" s="1290"/>
      <c r="V29" s="2754" t="str">
        <f>IF(TITLE_NUMBER_PR_CHANGE="",IF(TITLE_NUMBER_PR="","",TITLE_NUMBER_PR),TITLE_NUMBER_PR_CHANGE)</f>
        <v>18-3341</v>
      </c>
      <c r="W29" s="2754"/>
      <c r="X29" s="2754"/>
      <c r="Y29" s="2754"/>
      <c r="Z29" s="2754"/>
      <c r="AA29" s="2754"/>
      <c r="AB29" s="262"/>
      <c r="AC29" s="2754" t="str">
        <f>IF(TITLE_NUMBER_PR_CHANGE="",IF(TITLE_NUMBER_PR="","",TITLE_NUMBER_PR),TITLE_NUMBER_PR_CHANGE)</f>
        <v>18-3341</v>
      </c>
      <c r="AD29" s="2754"/>
      <c r="AE29" s="2754"/>
      <c r="AF29" s="2754"/>
      <c r="AG29" s="2754"/>
      <c r="AH29" s="2754"/>
      <c r="AI29" s="262"/>
      <c r="AJ29" s="262"/>
      <c r="AK29" s="216"/>
      <c r="AL29" s="303"/>
      <c r="AM29" s="303"/>
      <c r="AN29" s="303"/>
      <c r="AO29" s="303"/>
      <c r="AP29" s="303"/>
      <c r="AQ29" s="353">
        <v>0</v>
      </c>
    </row>
    <row r="30" spans="1:43" s="2529" customFormat="1" ht="18.75" hidden="1" customHeight="1">
      <c r="A30" s="1286"/>
      <c r="B30" s="1286"/>
      <c r="C30" s="1286"/>
      <c r="D30" s="1286"/>
      <c r="E30" s="1286"/>
      <c r="F30" s="1286"/>
      <c r="G30" s="1286"/>
      <c r="H30" s="1286"/>
      <c r="I30" s="1286"/>
      <c r="J30" s="1286"/>
      <c r="K30" s="1286"/>
      <c r="L30" s="1287"/>
      <c r="M30" s="1286"/>
      <c r="N30" s="1286"/>
      <c r="O30" s="1286"/>
      <c r="S30" s="2772" t="s">
        <v>43</v>
      </c>
      <c r="T30" s="2772"/>
      <c r="U30" s="1290"/>
      <c r="V30" s="2754" t="str">
        <f>IF(TITLE_IST_PUB_CHANGE="",IF(TITLE_IST_PUB="","",TITLE_IST_PUB),TITLE_IST_PUB_CHANGE)</f>
        <v/>
      </c>
      <c r="W30" s="2754"/>
      <c r="X30" s="2754"/>
      <c r="Y30" s="2754"/>
      <c r="Z30" s="2754"/>
      <c r="AA30" s="2754"/>
      <c r="AB30" s="262"/>
      <c r="AC30" s="2754" t="str">
        <f>IF(TITLE_IST_PUB_CHANGE="",IF(TITLE_IST_PUB="","",TITLE_IST_PUB),TITLE_IST_PUB_CHANGE)</f>
        <v/>
      </c>
      <c r="AD30" s="2754"/>
      <c r="AE30" s="2754"/>
      <c r="AF30" s="2754"/>
      <c r="AG30" s="2754"/>
      <c r="AH30" s="2754"/>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529" customFormat="1" ht="18.75" customHeight="1">
      <c r="A32" s="1286"/>
      <c r="B32" s="1286"/>
      <c r="C32" s="1286"/>
      <c r="D32" s="1286"/>
      <c r="E32" s="1286"/>
      <c r="F32" s="1286"/>
      <c r="G32" s="1286"/>
      <c r="H32" s="1286"/>
      <c r="I32" s="1286"/>
      <c r="J32" s="1286"/>
      <c r="K32" s="1286"/>
      <c r="L32" s="1287"/>
      <c r="M32" s="1286"/>
      <c r="N32" s="1286"/>
      <c r="O32" s="1286"/>
      <c r="S32" s="2772" t="s">
        <v>424</v>
      </c>
      <c r="T32" s="2772"/>
      <c r="U32" s="1290"/>
      <c r="V32" s="2755">
        <f>IF(TITLE_DATE_PR_CHANGE="",IF(TITLE_DATE_PR="","",TITLE_DATE_PR),TITLE_DATE_PR_CHANGE)</f>
        <v>45583</v>
      </c>
      <c r="W32" s="2755"/>
      <c r="X32" s="2755"/>
      <c r="Y32" s="2755"/>
      <c r="Z32" s="2755"/>
      <c r="AA32" s="2755"/>
      <c r="AB32" s="262"/>
      <c r="AC32" s="2755">
        <f>IF(TITLE_DATE_PR_CHANGE="",IF(TITLE_DATE_PR="","",TITLE_DATE_PR),TITLE_DATE_PR_CHANGE)</f>
        <v>45583</v>
      </c>
      <c r="AD32" s="2755"/>
      <c r="AE32" s="2755"/>
      <c r="AF32" s="2755"/>
      <c r="AG32" s="2755"/>
      <c r="AH32" s="2755"/>
      <c r="AI32" s="262"/>
      <c r="AJ32" s="262"/>
      <c r="AK32" s="216"/>
      <c r="AL32" s="303"/>
      <c r="AM32" s="303"/>
      <c r="AN32" s="303"/>
      <c r="AO32" s="303"/>
      <c r="AP32" s="303"/>
      <c r="AQ32" s="353">
        <v>0</v>
      </c>
    </row>
    <row r="33" spans="1:43" s="2529" customFormat="1" ht="18.75" customHeight="1">
      <c r="A33" s="1286"/>
      <c r="B33" s="1286"/>
      <c r="C33" s="1286"/>
      <c r="D33" s="1286"/>
      <c r="E33" s="1286"/>
      <c r="F33" s="1286"/>
      <c r="G33" s="1286"/>
      <c r="H33" s="1286"/>
      <c r="I33" s="1286"/>
      <c r="J33" s="1286"/>
      <c r="K33" s="1286"/>
      <c r="L33" s="1287"/>
      <c r="M33" s="1286"/>
      <c r="N33" s="1286"/>
      <c r="O33" s="1286"/>
      <c r="S33" s="2772" t="s">
        <v>425</v>
      </c>
      <c r="T33" s="2772"/>
      <c r="U33" s="1290"/>
      <c r="V33" s="2754" t="str">
        <f>IF(TITLE_NUMBER_PR_CHANGE="",IF(TITLE_NUMBER_PR="","",TITLE_NUMBER_PR),TITLE_NUMBER_PR_CHANGE)</f>
        <v>18-3341</v>
      </c>
      <c r="W33" s="2754"/>
      <c r="X33" s="2754"/>
      <c r="Y33" s="2754"/>
      <c r="Z33" s="2754"/>
      <c r="AA33" s="2754"/>
      <c r="AB33" s="262"/>
      <c r="AC33" s="2754" t="str">
        <f>IF(TITLE_NUMBER_PR_CHANGE="",IF(TITLE_NUMBER_PR="","",TITLE_NUMBER_PR),TITLE_NUMBER_PR_CHANGE)</f>
        <v>18-3341</v>
      </c>
      <c r="AD33" s="2754"/>
      <c r="AE33" s="2754"/>
      <c r="AF33" s="2754"/>
      <c r="AG33" s="2754"/>
      <c r="AH33" s="2754"/>
      <c r="AI33" s="262"/>
      <c r="AJ33" s="262"/>
      <c r="AK33" s="216"/>
      <c r="AL33" s="303"/>
      <c r="AM33" s="303"/>
      <c r="AN33" s="303"/>
      <c r="AO33" s="303"/>
      <c r="AP33" s="303"/>
      <c r="AQ33" s="353">
        <v>0</v>
      </c>
    </row>
    <row r="34" spans="1:43" s="2529"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756"/>
      <c r="W35" s="2756"/>
      <c r="X35" s="2756"/>
      <c r="Y35" s="2756"/>
      <c r="Z35" s="2756"/>
      <c r="AA35" s="2756"/>
      <c r="AB35" s="2756"/>
      <c r="AC35" s="2756"/>
      <c r="AD35" s="2756"/>
      <c r="AE35" s="2756"/>
      <c r="AF35" s="2756"/>
      <c r="AG35" s="2756"/>
      <c r="AH35" s="2756"/>
      <c r="AI35" s="2756"/>
      <c r="AQ35" s="1073">
        <v>14</v>
      </c>
    </row>
    <row r="36" spans="1:43" ht="14.65" customHeight="1">
      <c r="Q36" s="311"/>
      <c r="R36" s="311"/>
      <c r="S36" s="2638" t="s">
        <v>302</v>
      </c>
      <c r="T36" s="2638"/>
      <c r="U36" s="2638"/>
      <c r="V36" s="2638"/>
      <c r="W36" s="2638"/>
      <c r="X36" s="2638"/>
      <c r="Y36" s="2638"/>
      <c r="Z36" s="2638"/>
      <c r="AA36" s="2638"/>
      <c r="AB36" s="2638"/>
      <c r="AC36" s="2638"/>
      <c r="AD36" s="2638"/>
      <c r="AE36" s="2638"/>
      <c r="AF36" s="2638"/>
      <c r="AG36" s="2638"/>
      <c r="AH36" s="2638"/>
      <c r="AI36" s="2638"/>
      <c r="AJ36" s="2638"/>
      <c r="AK36" s="2638" t="s">
        <v>303</v>
      </c>
      <c r="AQ36" s="1073">
        <v>14</v>
      </c>
    </row>
    <row r="37" spans="1:43" ht="14.65" customHeight="1">
      <c r="Q37" s="311"/>
      <c r="R37" s="311"/>
      <c r="S37" s="2782" t="s">
        <v>87</v>
      </c>
      <c r="T37" s="2724" t="s">
        <v>428</v>
      </c>
      <c r="U37" s="237"/>
      <c r="V37" s="2757" t="s">
        <v>429</v>
      </c>
      <c r="W37" s="2758"/>
      <c r="X37" s="2758"/>
      <c r="Y37" s="2758"/>
      <c r="Z37" s="2758"/>
      <c r="AA37" s="2759"/>
      <c r="AB37" s="2760" t="s">
        <v>430</v>
      </c>
      <c r="AC37" s="2757" t="s">
        <v>429</v>
      </c>
      <c r="AD37" s="2758"/>
      <c r="AE37" s="2758"/>
      <c r="AF37" s="2758"/>
      <c r="AG37" s="2758"/>
      <c r="AH37" s="2759"/>
      <c r="AI37" s="2760" t="s">
        <v>431</v>
      </c>
      <c r="AJ37" s="2783" t="s">
        <v>432</v>
      </c>
      <c r="AK37" s="2638"/>
      <c r="AQ37" s="1073">
        <v>14</v>
      </c>
    </row>
    <row r="38" spans="1:43" ht="35.65" customHeight="1">
      <c r="Q38" s="311"/>
      <c r="R38" s="311"/>
      <c r="S38" s="2782"/>
      <c r="T38" s="2724"/>
      <c r="U38" s="953"/>
      <c r="V38" s="1370" t="s">
        <v>491</v>
      </c>
      <c r="W38" s="2610" t="s">
        <v>435</v>
      </c>
      <c r="X38" s="2609"/>
      <c r="Y38" s="2610" t="s">
        <v>436</v>
      </c>
      <c r="Z38" s="2615"/>
      <c r="AA38" s="2609"/>
      <c r="AB38" s="2761"/>
      <c r="AC38" s="1370" t="s">
        <v>491</v>
      </c>
      <c r="AD38" s="2610" t="s">
        <v>435</v>
      </c>
      <c r="AE38" s="2609"/>
      <c r="AF38" s="2610" t="s">
        <v>436</v>
      </c>
      <c r="AG38" s="2615"/>
      <c r="AH38" s="2609"/>
      <c r="AI38" s="2761"/>
      <c r="AJ38" s="2784"/>
      <c r="AK38" s="2638"/>
      <c r="AQ38" s="1073">
        <v>34</v>
      </c>
    </row>
    <row r="39" spans="1:43" ht="35.65" customHeight="1">
      <c r="A39" s="1288"/>
      <c r="B39" s="1288" t="s">
        <v>134</v>
      </c>
      <c r="C39" s="1288" t="s">
        <v>135</v>
      </c>
      <c r="D39" s="1288" t="s">
        <v>136</v>
      </c>
      <c r="E39" s="1282" t="s">
        <v>437</v>
      </c>
      <c r="F39" s="1282" t="s">
        <v>438</v>
      </c>
      <c r="G39" s="1282" t="s">
        <v>439</v>
      </c>
      <c r="H39" s="1282"/>
      <c r="I39" s="1282" t="s">
        <v>492</v>
      </c>
      <c r="J39" s="1282" t="s">
        <v>442</v>
      </c>
      <c r="K39" s="1282" t="s">
        <v>493</v>
      </c>
      <c r="L39" s="1282" t="s">
        <v>417</v>
      </c>
      <c r="Q39" s="311"/>
      <c r="R39" s="311"/>
      <c r="S39" s="2782"/>
      <c r="T39" s="2724"/>
      <c r="U39" s="238"/>
      <c r="V39" s="1370" t="s">
        <v>494</v>
      </c>
      <c r="W39" s="1140" t="s">
        <v>495</v>
      </c>
      <c r="X39" s="1140" t="s">
        <v>496</v>
      </c>
      <c r="Y39" s="1373" t="s">
        <v>446</v>
      </c>
      <c r="Z39" s="2733" t="s">
        <v>447</v>
      </c>
      <c r="AA39" s="2735"/>
      <c r="AB39" s="2762"/>
      <c r="AC39" s="1370" t="s">
        <v>494</v>
      </c>
      <c r="AD39" s="1140" t="s">
        <v>495</v>
      </c>
      <c r="AE39" s="1140" t="s">
        <v>496</v>
      </c>
      <c r="AF39" s="1373" t="s">
        <v>446</v>
      </c>
      <c r="AG39" s="2733" t="s">
        <v>447</v>
      </c>
      <c r="AH39" s="2735"/>
      <c r="AI39" s="2762"/>
      <c r="AJ39" s="2785"/>
      <c r="AK39" s="2638"/>
      <c r="AQ39" s="1073">
        <v>34</v>
      </c>
    </row>
    <row r="40" spans="1:43" s="2544"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108</v>
      </c>
      <c r="T40" s="1173" t="s">
        <v>109</v>
      </c>
      <c r="U40" s="1163" t="str">
        <f ca="1">OFFSET(U40,0,-1)</f>
        <v>2</v>
      </c>
      <c r="V40" s="1369">
        <f ca="1">OFFSET(V40,0,-1)+1</f>
        <v>3</v>
      </c>
      <c r="W40" s="1369">
        <f ca="1">OFFSET(W40,0,-1)+1</f>
        <v>4</v>
      </c>
      <c r="X40" s="1369">
        <f ca="1">OFFSET(X40,0,-1)+1</f>
        <v>5</v>
      </c>
      <c r="Y40" s="1369">
        <f ca="1">OFFSET(Y40,0,-1)+1</f>
        <v>6</v>
      </c>
      <c r="Z40" s="2765">
        <f ca="1">OFFSET(Z40,0,-1)+1</f>
        <v>7</v>
      </c>
      <c r="AA40" s="2765"/>
      <c r="AB40" s="1369">
        <f ca="1">OFFSET(AB40,0,-2)+1</f>
        <v>8</v>
      </c>
      <c r="AC40" s="1369">
        <f ca="1">OFFSET(AC40,0,-1)+1</f>
        <v>9</v>
      </c>
      <c r="AD40" s="1369">
        <f ca="1">OFFSET(AD40,0,-1)+1</f>
        <v>10</v>
      </c>
      <c r="AE40" s="1369">
        <f ca="1">OFFSET(AE40,0,-1)+1</f>
        <v>11</v>
      </c>
      <c r="AF40" s="1369">
        <f ca="1">OFFSET(AF40,0,-1)+1</f>
        <v>12</v>
      </c>
      <c r="AG40" s="2765">
        <f ca="1">OFFSET(AG40,0,-1)+1</f>
        <v>13</v>
      </c>
      <c r="AH40" s="2765"/>
      <c r="AI40" s="1369">
        <f ca="1">OFFSET(AI40,0,-2)+1</f>
        <v>14</v>
      </c>
      <c r="AJ40" s="1163">
        <f ca="1">OFFSET(AJ40,0,-1)</f>
        <v>14</v>
      </c>
      <c r="AK40" s="1369">
        <f ca="1">OFFSET(AK40,0,-1)+1</f>
        <v>15</v>
      </c>
      <c r="AL40" s="446"/>
      <c r="AM40" s="446"/>
      <c r="AN40" s="446"/>
      <c r="AO40" s="446"/>
      <c r="AP40" s="446"/>
      <c r="AQ40" s="431">
        <v>0</v>
      </c>
    </row>
    <row r="41" spans="1:43" ht="24" customHeight="1">
      <c r="A41" s="1281" t="s">
        <v>238</v>
      </c>
      <c r="B41" s="1281"/>
      <c r="C41" s="1281"/>
      <c r="D41" s="1281"/>
      <c r="E41" s="2778">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122</v>
      </c>
      <c r="U41" s="236"/>
      <c r="V41" s="2766"/>
      <c r="W41" s="2767"/>
      <c r="X41" s="2767"/>
      <c r="Y41" s="2767"/>
      <c r="Z41" s="2767"/>
      <c r="AA41" s="2767"/>
      <c r="AB41" s="2768"/>
      <c r="AC41" s="2766" t="str">
        <f>INDEX(PT_DIFFERENTIATION_NTAR,MATCH(A41,PT_DIFFERENTIATION_NTAR_ID,0))</f>
        <v/>
      </c>
      <c r="AD41" s="2767"/>
      <c r="AE41" s="2767"/>
      <c r="AF41" s="2767"/>
      <c r="AG41" s="2767"/>
      <c r="AH41" s="2767"/>
      <c r="AI41" s="2767"/>
      <c r="AJ41" s="276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238</v>
      </c>
      <c r="B42" s="1281" t="s">
        <v>239</v>
      </c>
      <c r="C42" s="1281"/>
      <c r="D42" s="1281"/>
      <c r="E42" s="2779"/>
      <c r="F42" s="2778">
        <v>1</v>
      </c>
      <c r="G42" s="1281"/>
      <c r="H42" s="1281"/>
      <c r="I42" s="1281"/>
      <c r="J42" s="1281"/>
      <c r="K42" s="1281"/>
      <c r="L42" s="1282"/>
      <c r="M42" s="1283"/>
      <c r="N42" s="1283"/>
      <c r="O42" s="1283"/>
      <c r="P42" s="1371"/>
      <c r="Q42" s="287"/>
      <c r="R42" s="288"/>
      <c r="S42" s="1375" t="str">
        <f>INDEX(PT_DIFFERENTIATION_NUM_TER,MATCH(B42,PT_DIFFERENTIATION_TER_ID,0))</f>
        <v>.</v>
      </c>
      <c r="T42" s="244" t="s">
        <v>399</v>
      </c>
      <c r="U42" s="236"/>
      <c r="V42" s="2766"/>
      <c r="W42" s="2767"/>
      <c r="X42" s="2767"/>
      <c r="Y42" s="2767"/>
      <c r="Z42" s="2767"/>
      <c r="AA42" s="2767"/>
      <c r="AB42" s="2768"/>
      <c r="AC42" s="2766" t="str">
        <f>INDEX(PT_DIFFERENTIATION_TER,MATCH(B42,PT_DIFFERENTIATION_TER_ID,0))</f>
        <v/>
      </c>
      <c r="AD42" s="2767"/>
      <c r="AE42" s="2767"/>
      <c r="AF42" s="2767"/>
      <c r="AG42" s="2767"/>
      <c r="AH42" s="2767"/>
      <c r="AI42" s="2767"/>
      <c r="AJ42" s="2768"/>
      <c r="AK42" s="1176" t="s">
        <v>400</v>
      </c>
      <c r="AM42" s="435"/>
      <c r="AN42" s="435" t="str">
        <f t="shared" si="1"/>
        <v>Территория действия тарифа</v>
      </c>
      <c r="AO42" s="435"/>
      <c r="AP42" s="435"/>
      <c r="AQ42" s="1073">
        <v>23</v>
      </c>
    </row>
    <row r="43" spans="1:43" ht="24" customHeight="1">
      <c r="A43" s="1281" t="s">
        <v>238</v>
      </c>
      <c r="B43" s="1281" t="s">
        <v>239</v>
      </c>
      <c r="C43" s="1281" t="s">
        <v>240</v>
      </c>
      <c r="D43" s="1281"/>
      <c r="E43" s="2779"/>
      <c r="F43" s="2779"/>
      <c r="G43" s="2778">
        <v>1</v>
      </c>
      <c r="H43" s="1281"/>
      <c r="I43" s="1281"/>
      <c r="J43" s="1281"/>
      <c r="K43" s="1281"/>
      <c r="L43" s="1282"/>
      <c r="M43" s="1283"/>
      <c r="N43" s="1283"/>
      <c r="O43" s="1283"/>
      <c r="P43" s="289"/>
      <c r="Q43" s="287"/>
      <c r="R43" s="288"/>
      <c r="S43" s="1375" t="str">
        <f>INDEX(PT_DIFFERENTIATION_NUM_CS,MATCH(C43,PT_DIFFERENTIATION_CS_ID,0))</f>
        <v>..</v>
      </c>
      <c r="T43" s="245" t="s">
        <v>483</v>
      </c>
      <c r="U43" s="236"/>
      <c r="V43" s="2766"/>
      <c r="W43" s="2767"/>
      <c r="X43" s="2767"/>
      <c r="Y43" s="2767"/>
      <c r="Z43" s="2767"/>
      <c r="AA43" s="2767"/>
      <c r="AB43" s="2768"/>
      <c r="AC43" s="2766" t="str">
        <f>INDEX(PT_DIFFERENTIATION_CS,MATCH(C43,PT_DIFFERENTIATION_CS_ID,0))</f>
        <v/>
      </c>
      <c r="AD43" s="2767"/>
      <c r="AE43" s="2767"/>
      <c r="AF43" s="2767"/>
      <c r="AG43" s="2767"/>
      <c r="AH43" s="2767"/>
      <c r="AI43" s="2767"/>
      <c r="AJ43" s="2768"/>
      <c r="AK43" s="1176" t="s">
        <v>484</v>
      </c>
      <c r="AM43" s="435"/>
      <c r="AN43" s="435" t="str">
        <f t="shared" si="1"/>
        <v>Наименование централизованной системы холодного водоснабжения</v>
      </c>
      <c r="AO43" s="435"/>
      <c r="AP43" s="435"/>
      <c r="AQ43" s="1073">
        <v>23</v>
      </c>
    </row>
    <row r="44" spans="1:43" ht="24" customHeight="1">
      <c r="A44" s="1281" t="s">
        <v>238</v>
      </c>
      <c r="B44" s="1281" t="s">
        <v>239</v>
      </c>
      <c r="C44" s="1281" t="s">
        <v>240</v>
      </c>
      <c r="D44" s="1281" t="s">
        <v>499</v>
      </c>
      <c r="E44" s="2779"/>
      <c r="F44" s="2779"/>
      <c r="G44" s="2779"/>
      <c r="H44" s="2779"/>
      <c r="I44" s="2776" t="str">
        <f>S43&amp;".1"</f>
        <v>...1</v>
      </c>
      <c r="J44" s="1281"/>
      <c r="K44" s="1281"/>
      <c r="L44" s="1282"/>
      <c r="P44" s="2777">
        <v>1</v>
      </c>
      <c r="Q44" s="1368"/>
      <c r="R44" s="291"/>
      <c r="S44" s="1375" t="str">
        <f>$I44</f>
        <v>...1</v>
      </c>
      <c r="T44" s="221" t="s">
        <v>485</v>
      </c>
      <c r="U44" s="236"/>
      <c r="V44" s="2833"/>
      <c r="W44" s="2834"/>
      <c r="X44" s="2834"/>
      <c r="Y44" s="2834"/>
      <c r="Z44" s="2834"/>
      <c r="AA44" s="2834"/>
      <c r="AB44" s="2835"/>
      <c r="AC44" s="2836"/>
      <c r="AD44" s="2837"/>
      <c r="AE44" s="2837"/>
      <c r="AF44" s="2837"/>
      <c r="AG44" s="2837"/>
      <c r="AH44" s="2837"/>
      <c r="AI44" s="2837"/>
      <c r="AJ44" s="2838"/>
      <c r="AK44" s="1176" t="s">
        <v>486</v>
      </c>
      <c r="AM44" s="435"/>
      <c r="AN44" s="435" t="str">
        <f t="shared" si="1"/>
        <v>Наименование признака дифференциации</v>
      </c>
      <c r="AO44" s="435"/>
      <c r="AP44" s="435"/>
      <c r="AQ44" s="1073">
        <v>23</v>
      </c>
    </row>
    <row r="45" spans="1:43" ht="24" customHeight="1">
      <c r="A45" s="1281" t="s">
        <v>238</v>
      </c>
      <c r="B45" s="1281" t="s">
        <v>239</v>
      </c>
      <c r="C45" s="1281" t="s">
        <v>240</v>
      </c>
      <c r="D45" s="1281" t="s">
        <v>499</v>
      </c>
      <c r="E45" s="2779"/>
      <c r="F45" s="2779"/>
      <c r="G45" s="2779"/>
      <c r="H45" s="2779"/>
      <c r="I45" s="2787"/>
      <c r="J45" s="2776" t="str">
        <f>I44&amp;".1"</f>
        <v>...1.1</v>
      </c>
      <c r="K45" s="1281"/>
      <c r="L45" s="1282" t="s">
        <v>408</v>
      </c>
      <c r="P45" s="2777"/>
      <c r="Q45" s="2777">
        <v>1</v>
      </c>
      <c r="R45" s="292"/>
      <c r="S45" s="1375" t="str">
        <f>$J45</f>
        <v>...1.1</v>
      </c>
      <c r="T45" s="222" t="s">
        <v>409</v>
      </c>
      <c r="U45" s="236"/>
      <c r="V45" s="2769"/>
      <c r="W45" s="2770"/>
      <c r="X45" s="2770"/>
      <c r="Y45" s="2770"/>
      <c r="Z45" s="2770"/>
      <c r="AA45" s="2770"/>
      <c r="AB45" s="2771"/>
      <c r="AC45" s="2769"/>
      <c r="AD45" s="2770"/>
      <c r="AE45" s="2770"/>
      <c r="AF45" s="2770"/>
      <c r="AG45" s="2770"/>
      <c r="AH45" s="2770"/>
      <c r="AI45" s="2770"/>
      <c r="AJ45" s="2771"/>
      <c r="AK45" s="1225" t="s">
        <v>487</v>
      </c>
      <c r="AM45" s="435"/>
      <c r="AN45" s="435" t="str">
        <f t="shared" si="1"/>
        <v>Группа потребителей</v>
      </c>
      <c r="AO45" s="435"/>
      <c r="AP45" s="435"/>
      <c r="AQ45" s="1073">
        <v>23</v>
      </c>
    </row>
    <row r="46" spans="1:43" ht="24" customHeight="1">
      <c r="A46" s="1281" t="s">
        <v>238</v>
      </c>
      <c r="B46" s="1281" t="s">
        <v>239</v>
      </c>
      <c r="C46" s="1281" t="s">
        <v>240</v>
      </c>
      <c r="D46" s="1281" t="s">
        <v>499</v>
      </c>
      <c r="E46" s="2779"/>
      <c r="F46" s="2779"/>
      <c r="G46" s="2779"/>
      <c r="H46" s="2779"/>
      <c r="I46" s="2787"/>
      <c r="J46" s="2787"/>
      <c r="K46" s="2776" t="str">
        <f>J45&amp;".1"</f>
        <v>...1.1.1</v>
      </c>
      <c r="L46" s="1282"/>
      <c r="P46" s="2777"/>
      <c r="Q46" s="2777"/>
      <c r="R46" s="292">
        <v>1</v>
      </c>
      <c r="S46" s="1375" t="str">
        <f>$K46</f>
        <v>...1.1.1</v>
      </c>
      <c r="T46" s="1355"/>
      <c r="U46" s="236"/>
      <c r="V46" s="686"/>
      <c r="W46" s="686"/>
      <c r="X46" s="1175"/>
      <c r="Y46" s="2753"/>
      <c r="Z46" s="2619" t="s">
        <v>66</v>
      </c>
      <c r="AA46" s="2753"/>
      <c r="AB46" s="2619" t="s">
        <v>66</v>
      </c>
      <c r="AC46" s="686"/>
      <c r="AD46" s="686"/>
      <c r="AE46" s="1175"/>
      <c r="AF46" s="2753"/>
      <c r="AG46" s="2619" t="s">
        <v>66</v>
      </c>
      <c r="AH46" s="2788"/>
      <c r="AI46" s="2619" t="s">
        <v>66</v>
      </c>
      <c r="AJ46" s="1356"/>
      <c r="AK46" s="28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238</v>
      </c>
      <c r="B47" s="1281" t="s">
        <v>239</v>
      </c>
      <c r="C47" s="1281" t="s">
        <v>240</v>
      </c>
      <c r="D47" s="1281" t="s">
        <v>499</v>
      </c>
      <c r="E47" s="2779"/>
      <c r="F47" s="2779"/>
      <c r="G47" s="2779"/>
      <c r="H47" s="2779"/>
      <c r="I47" s="2787"/>
      <c r="J47" s="2787"/>
      <c r="K47" s="2776"/>
      <c r="L47" s="1282"/>
      <c r="P47" s="2777"/>
      <c r="Q47" s="2777"/>
      <c r="R47" s="292"/>
      <c r="S47" s="1374"/>
      <c r="T47" s="236"/>
      <c r="U47" s="236"/>
      <c r="V47" s="261"/>
      <c r="W47" s="261"/>
      <c r="X47" s="264" t="str">
        <f>Y46&amp;"-"&amp;AA46</f>
        <v>-</v>
      </c>
      <c r="Y47" s="2752"/>
      <c r="Z47" s="2619"/>
      <c r="AA47" s="2752"/>
      <c r="AB47" s="2619"/>
      <c r="AC47" s="261"/>
      <c r="AD47" s="261"/>
      <c r="AE47" s="264" t="str">
        <f>AF46&amp;"-"&amp;AH46</f>
        <v>-</v>
      </c>
      <c r="AF47" s="2752"/>
      <c r="AG47" s="2619"/>
      <c r="AH47" s="2789"/>
      <c r="AI47" s="2619"/>
      <c r="AJ47" s="1357"/>
      <c r="AK47" s="2832"/>
      <c r="AM47" s="435"/>
      <c r="AN47" s="435" t="str">
        <f t="shared" si="1"/>
        <v/>
      </c>
      <c r="AO47" s="435"/>
      <c r="AP47" s="435"/>
      <c r="AQ47" s="1073">
        <v>0</v>
      </c>
    </row>
    <row r="48" spans="1:43" ht="21" customHeight="1">
      <c r="A48" s="1281" t="s">
        <v>238</v>
      </c>
      <c r="B48" s="1281" t="s">
        <v>239</v>
      </c>
      <c r="C48" s="1281" t="s">
        <v>240</v>
      </c>
      <c r="D48" s="1281" t="s">
        <v>499</v>
      </c>
      <c r="E48" s="2779"/>
      <c r="F48" s="2779"/>
      <c r="G48" s="2779"/>
      <c r="H48" s="2779"/>
      <c r="I48" s="2787"/>
      <c r="J48" s="2776"/>
      <c r="K48" s="1281"/>
      <c r="L48" s="1282"/>
      <c r="P48" s="2777"/>
      <c r="Q48" s="2777"/>
      <c r="R48" s="291"/>
      <c r="S48" s="1196"/>
      <c r="T48" s="223" t="s">
        <v>488</v>
      </c>
      <c r="U48" s="302"/>
      <c r="V48" s="302"/>
      <c r="W48" s="302"/>
      <c r="X48" s="302"/>
      <c r="Y48" s="302"/>
      <c r="Z48" s="302"/>
      <c r="AA48" s="302"/>
      <c r="AB48" s="302"/>
      <c r="AC48" s="302"/>
      <c r="AD48" s="302"/>
      <c r="AE48" s="302"/>
      <c r="AF48" s="302"/>
      <c r="AG48" s="302"/>
      <c r="AH48" s="302"/>
      <c r="AI48" s="302"/>
      <c r="AJ48" s="302"/>
      <c r="AK48" s="1176" t="s">
        <v>489</v>
      </c>
      <c r="AM48" s="435"/>
      <c r="AN48" s="435" t="str">
        <f t="shared" si="1"/>
        <v>Добавить значение признака дифференциации</v>
      </c>
      <c r="AO48" s="435"/>
      <c r="AP48" s="435"/>
      <c r="AQ48" s="1073">
        <v>20</v>
      </c>
    </row>
    <row r="49" spans="1:43" ht="21.95" customHeight="1">
      <c r="A49" s="1281" t="s">
        <v>238</v>
      </c>
      <c r="B49" s="1281" t="s">
        <v>239</v>
      </c>
      <c r="C49" s="1281" t="s">
        <v>240</v>
      </c>
      <c r="D49" s="1281" t="s">
        <v>499</v>
      </c>
      <c r="E49" s="2779"/>
      <c r="F49" s="2779"/>
      <c r="G49" s="2779"/>
      <c r="H49" s="2779"/>
      <c r="I49" s="2776"/>
      <c r="J49" s="1281"/>
      <c r="K49" s="1281"/>
      <c r="L49" s="1282"/>
      <c r="P49" s="2777"/>
      <c r="Q49" s="1368"/>
      <c r="R49" s="291"/>
      <c r="S49" s="1196"/>
      <c r="T49" s="300" t="s">
        <v>414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238</v>
      </c>
      <c r="B50" s="1281" t="s">
        <v>239</v>
      </c>
      <c r="C50" s="1281" t="s">
        <v>240</v>
      </c>
      <c r="D50" s="1281" t="s">
        <v>499</v>
      </c>
      <c r="E50" s="2779"/>
      <c r="F50" s="2779"/>
      <c r="G50" s="2779"/>
      <c r="H50" s="2778"/>
      <c r="I50" s="1281"/>
      <c r="J50" s="1281"/>
      <c r="K50" s="1281"/>
      <c r="L50" s="1282"/>
      <c r="M50" s="1283"/>
      <c r="N50" s="1283"/>
      <c r="O50" s="472"/>
      <c r="P50" s="295"/>
      <c r="Q50" s="310"/>
      <c r="R50" s="290"/>
      <c r="S50" s="1196"/>
      <c r="T50" s="307" t="s">
        <v>490</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520" customFormat="1" ht="0" hidden="1" customHeight="1">
      <c r="A51" s="1261" t="s">
        <v>238</v>
      </c>
      <c r="B51" s="1261" t="s">
        <v>239</v>
      </c>
      <c r="C51" s="1232"/>
      <c r="D51" s="1232"/>
      <c r="E51" s="2779"/>
      <c r="F51" s="2778"/>
      <c r="G51" s="1232"/>
      <c r="H51" s="1232"/>
      <c r="I51" s="1232"/>
      <c r="J51" s="1232"/>
      <c r="K51" s="1232"/>
      <c r="L51" s="1376"/>
      <c r="M51" s="1239"/>
      <c r="N51" s="1239"/>
      <c r="P51" s="1234"/>
      <c r="Q51" s="1235"/>
      <c r="R51" s="1234"/>
      <c r="S51" s="1240"/>
      <c r="T51" s="1243" t="s">
        <v>161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520" customFormat="1" ht="0" hidden="1" customHeight="1">
      <c r="A52" s="1261" t="s">
        <v>238</v>
      </c>
      <c r="B52" s="1261"/>
      <c r="C52" s="1261"/>
      <c r="D52" s="1261"/>
      <c r="E52" s="2778"/>
      <c r="F52" s="1261"/>
      <c r="G52" s="1261"/>
      <c r="H52" s="1261"/>
      <c r="I52" s="1261"/>
      <c r="J52" s="1261"/>
      <c r="K52" s="1261"/>
      <c r="L52" s="1264"/>
      <c r="M52" s="1239"/>
      <c r="N52" s="1239"/>
      <c r="O52" s="453"/>
      <c r="P52" s="315"/>
      <c r="Q52" s="1262"/>
      <c r="R52" s="315"/>
      <c r="S52" s="1240"/>
      <c r="T52" s="1243" t="s">
        <v>162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520"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163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786"/>
      <c r="U55" s="2786"/>
      <c r="V55" s="2786"/>
      <c r="W55" s="2786"/>
      <c r="X55" s="2786"/>
      <c r="Y55" s="2786"/>
      <c r="Z55" s="2786"/>
      <c r="AA55" s="2786"/>
      <c r="AB55" s="2786"/>
      <c r="AC55" s="2786"/>
      <c r="AD55" s="2786"/>
      <c r="AE55" s="2786"/>
      <c r="AF55" s="2786"/>
      <c r="AG55" s="2786"/>
      <c r="AH55" s="2786"/>
      <c r="AI55" s="2786"/>
      <c r="AJ55" s="2786"/>
      <c r="AK55" s="2786"/>
      <c r="AQ55" s="1073">
        <v>14</v>
      </c>
    </row>
    <row r="56" spans="1:43" ht="14.65" customHeight="1">
      <c r="O56" s="472"/>
      <c r="AQ56" s="1073">
        <v>14</v>
      </c>
    </row>
    <row r="57" spans="1:43" ht="14.65" customHeight="1">
      <c r="O57" s="472"/>
      <c r="S57" s="1171"/>
      <c r="T57" s="2786"/>
      <c r="U57" s="2786"/>
      <c r="V57" s="2786"/>
      <c r="W57" s="2786"/>
      <c r="X57" s="2786"/>
      <c r="Y57" s="2786"/>
      <c r="Z57" s="2786"/>
      <c r="AA57" s="2786"/>
      <c r="AB57" s="2786"/>
      <c r="AC57" s="2786"/>
      <c r="AD57" s="2786"/>
      <c r="AE57" s="2786"/>
      <c r="AF57" s="2786"/>
      <c r="AG57" s="2786"/>
      <c r="AH57" s="2786"/>
      <c r="AI57" s="2786"/>
      <c r="AJ57" s="2786"/>
      <c r="AK57" s="2786"/>
      <c r="AQ57" s="1073">
        <v>14</v>
      </c>
    </row>
    <row r="58" spans="1:43" ht="22.5" hidden="1" customHeight="1">
      <c r="A58" s="1078" t="s">
        <v>81</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519" hidden="1"/>
    <col min="2" max="2" width="11" style="2519" hidden="1" customWidth="1"/>
    <col min="3" max="3" width="10.5703125" style="2519" hidden="1"/>
    <col min="4" max="4" width="11.85546875" style="2519" hidden="1" customWidth="1"/>
    <col min="5" max="5" width="10" style="2519" hidden="1" customWidth="1"/>
    <col min="6" max="6" width="8.7109375" style="2519" hidden="1" customWidth="1"/>
    <col min="7" max="7" width="7.5703125" style="2519" hidden="1" customWidth="1"/>
    <col min="8" max="8" width="11.42578125" style="2519" hidden="1" customWidth="1"/>
    <col min="9" max="9" width="14.140625" style="2519" hidden="1" customWidth="1"/>
    <col min="10" max="10" width="9.85546875" style="2519" hidden="1" customWidth="1"/>
    <col min="11" max="11" width="14.7109375" style="2519" hidden="1" customWidth="1"/>
    <col min="12" max="12" width="19.140625" style="2545" hidden="1" customWidth="1"/>
    <col min="13" max="14" width="12.28515625" style="2546" hidden="1" customWidth="1"/>
    <col min="15" max="15" width="23.42578125" style="2546" hidden="1" customWidth="1"/>
    <col min="16" max="16" width="3" style="2547" customWidth="1"/>
    <col min="17" max="18" width="3" style="2548" customWidth="1"/>
    <col min="19" max="19" width="12" style="2549" customWidth="1"/>
    <col min="20" max="20" width="35" style="2513" customWidth="1"/>
    <col min="21" max="21" width="0.140625" style="2513" customWidth="1"/>
    <col min="22" max="24" width="24.7109375" style="2513" hidden="1" customWidth="1"/>
    <col min="25" max="25" width="11.7109375" style="2513" hidden="1" customWidth="1"/>
    <col min="26" max="26" width="3.7109375" style="2513" hidden="1" customWidth="1"/>
    <col min="27" max="27" width="11.7109375" style="2513" hidden="1" customWidth="1"/>
    <col min="28" max="28" width="8.5703125" style="2513" hidden="1" customWidth="1"/>
    <col min="29" max="29" width="24.7109375" style="2513" customWidth="1"/>
    <col min="30" max="31" width="24" style="2513" customWidth="1"/>
    <col min="32" max="32" width="11" style="2513" customWidth="1"/>
    <col min="33" max="33" width="3.7109375" style="2513" customWidth="1"/>
    <col min="34" max="34" width="11" style="2513" customWidth="1"/>
    <col min="35" max="35" width="8.5703125" style="2513" hidden="1" customWidth="1"/>
    <col min="36" max="36" width="4" style="2513" customWidth="1"/>
    <col min="37" max="37" width="115" style="2513" customWidth="1"/>
    <col min="38" max="42" width="10" style="2520" customWidth="1"/>
    <col min="43" max="43" width="10.5703125" style="2513" hidden="1"/>
  </cols>
  <sheetData>
    <row r="1" spans="1:43" ht="22.5" hidden="1" customHeight="1">
      <c r="X1" s="263"/>
      <c r="Y1" s="263"/>
      <c r="AE1" s="263"/>
      <c r="AF1" s="263"/>
      <c r="AQ1" s="1073" t="s">
        <v>14</v>
      </c>
    </row>
    <row r="2" spans="1:43" ht="23.25" hidden="1" customHeight="1">
      <c r="A2" s="1281"/>
      <c r="B2" s="1281"/>
      <c r="C2" s="1281"/>
      <c r="D2" s="1281"/>
      <c r="E2" s="2778">
        <v>1</v>
      </c>
      <c r="F2" s="1281"/>
      <c r="G2" s="1281"/>
      <c r="H2" s="1281"/>
      <c r="I2" s="1281"/>
      <c r="J2" s="1281"/>
      <c r="K2" s="1281"/>
      <c r="L2" s="1282"/>
      <c r="M2" s="1283"/>
      <c r="N2" s="1283"/>
      <c r="O2" s="1283"/>
      <c r="P2" s="296"/>
      <c r="Q2" s="295"/>
      <c r="R2" s="290"/>
      <c r="S2" s="1375" t="e">
        <f>INDEX(PT_DIFFERENTIATION_NUM_NTAR,MATCH(A2,PT_DIFFERENTIATION_NTAR_ID,0))</f>
        <v>#N/A</v>
      </c>
      <c r="T2" s="234" t="s">
        <v>122</v>
      </c>
      <c r="U2" s="236"/>
      <c r="V2" s="2766"/>
      <c r="W2" s="2767"/>
      <c r="X2" s="2767"/>
      <c r="Y2" s="2767"/>
      <c r="Z2" s="2767"/>
      <c r="AA2" s="2767"/>
      <c r="AB2" s="2768"/>
      <c r="AC2" s="2766" t="e">
        <f>INDEX(PT_DIFFERENTIATION_NTAR,MATCH(A2,PT_DIFFERENTIATION_NTAR_ID,0))</f>
        <v>#N/A</v>
      </c>
      <c r="AD2" s="2767"/>
      <c r="AE2" s="2767"/>
      <c r="AF2" s="2767"/>
      <c r="AG2" s="2767"/>
      <c r="AH2" s="2767"/>
      <c r="AI2" s="2767"/>
      <c r="AJ2" s="276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779"/>
      <c r="F3" s="2778">
        <v>1</v>
      </c>
      <c r="G3" s="1281"/>
      <c r="H3" s="1281"/>
      <c r="I3" s="1281"/>
      <c r="J3" s="1281"/>
      <c r="K3" s="1281"/>
      <c r="L3" s="1282"/>
      <c r="M3" s="1283"/>
      <c r="N3" s="1283"/>
      <c r="O3" s="1283"/>
      <c r="P3" s="1371"/>
      <c r="Q3" s="287"/>
      <c r="R3" s="288"/>
      <c r="S3" s="1375" t="e">
        <f>INDEX(PT_DIFFERENTIATION_NUM_TER,MATCH(B3,PT_DIFFERENTIATION_TER_ID,0))</f>
        <v>#N/A</v>
      </c>
      <c r="T3" s="244" t="s">
        <v>399</v>
      </c>
      <c r="U3" s="236"/>
      <c r="V3" s="2766"/>
      <c r="W3" s="2767"/>
      <c r="X3" s="2767"/>
      <c r="Y3" s="2767"/>
      <c r="Z3" s="2767"/>
      <c r="AA3" s="2767"/>
      <c r="AB3" s="2768"/>
      <c r="AC3" s="2766" t="e">
        <f>INDEX(PT_DIFFERENTIATION_TER,MATCH(B3,PT_DIFFERENTIATION_TER_ID,0))</f>
        <v>#N/A</v>
      </c>
      <c r="AD3" s="2767"/>
      <c r="AE3" s="2767"/>
      <c r="AF3" s="2767"/>
      <c r="AG3" s="2767"/>
      <c r="AH3" s="2767"/>
      <c r="AI3" s="2767"/>
      <c r="AJ3" s="2768"/>
      <c r="AK3" s="1176" t="s">
        <v>400</v>
      </c>
      <c r="AM3" s="435"/>
      <c r="AN3" s="435" t="str">
        <f t="shared" si="0"/>
        <v>Территория действия тарифа</v>
      </c>
      <c r="AO3" s="435"/>
      <c r="AP3" s="435"/>
      <c r="AQ3" s="1073">
        <v>0</v>
      </c>
    </row>
    <row r="4" spans="1:43" ht="23.25" hidden="1" customHeight="1">
      <c r="A4" s="1281"/>
      <c r="B4" s="1281"/>
      <c r="C4" s="1281"/>
      <c r="D4" s="1281"/>
      <c r="E4" s="2779"/>
      <c r="F4" s="2779"/>
      <c r="G4" s="2778">
        <v>1</v>
      </c>
      <c r="H4" s="1281"/>
      <c r="I4" s="1281"/>
      <c r="J4" s="1281"/>
      <c r="K4" s="1281"/>
      <c r="L4" s="1282"/>
      <c r="M4" s="1283"/>
      <c r="N4" s="1283"/>
      <c r="O4" s="1283"/>
      <c r="P4" s="289"/>
      <c r="Q4" s="287"/>
      <c r="R4" s="288"/>
      <c r="S4" s="1375" t="e">
        <f>INDEX(PT_DIFFERENTIATION_NUM_CS,MATCH(C4,PT_DIFFERENTIATION_CS_ID,0))</f>
        <v>#N/A</v>
      </c>
      <c r="T4" s="245" t="s">
        <v>483</v>
      </c>
      <c r="U4" s="236"/>
      <c r="V4" s="2766"/>
      <c r="W4" s="2767"/>
      <c r="X4" s="2767"/>
      <c r="Y4" s="2767"/>
      <c r="Z4" s="2767"/>
      <c r="AA4" s="2767"/>
      <c r="AB4" s="2768"/>
      <c r="AC4" s="2766" t="e">
        <f>INDEX(PT_DIFFERENTIATION_CS,MATCH(C4,PT_DIFFERENTIATION_CS_ID,0))</f>
        <v>#N/A</v>
      </c>
      <c r="AD4" s="2767"/>
      <c r="AE4" s="2767"/>
      <c r="AF4" s="2767"/>
      <c r="AG4" s="2767"/>
      <c r="AH4" s="2767"/>
      <c r="AI4" s="2767"/>
      <c r="AJ4" s="2768"/>
      <c r="AK4" s="1176" t="s">
        <v>484</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779"/>
      <c r="F5" s="2779"/>
      <c r="G5" s="2779"/>
      <c r="H5" s="2779"/>
      <c r="I5" s="2776" t="e">
        <f>S4&amp;".1"</f>
        <v>#N/A</v>
      </c>
      <c r="J5" s="1281"/>
      <c r="K5" s="1281"/>
      <c r="L5" s="1282"/>
      <c r="P5" s="2777">
        <v>1</v>
      </c>
      <c r="Q5" s="1368"/>
      <c r="R5" s="291"/>
      <c r="S5" s="1375" t="e">
        <f>$I5</f>
        <v>#N/A</v>
      </c>
      <c r="T5" s="221" t="s">
        <v>485</v>
      </c>
      <c r="U5" s="236"/>
      <c r="V5" s="2833"/>
      <c r="W5" s="2834"/>
      <c r="X5" s="2834"/>
      <c r="Y5" s="2834"/>
      <c r="Z5" s="2834"/>
      <c r="AA5" s="2834"/>
      <c r="AB5" s="2835"/>
      <c r="AC5" s="2836"/>
      <c r="AD5" s="2837"/>
      <c r="AE5" s="2837"/>
      <c r="AF5" s="2837"/>
      <c r="AG5" s="2837"/>
      <c r="AH5" s="2837"/>
      <c r="AI5" s="2837"/>
      <c r="AJ5" s="2838"/>
      <c r="AK5" s="1176" t="s">
        <v>486</v>
      </c>
      <c r="AM5" s="435"/>
      <c r="AN5" s="435" t="str">
        <f t="shared" si="0"/>
        <v>Наименование признака дифференциации</v>
      </c>
      <c r="AO5" s="435"/>
      <c r="AP5" s="435"/>
      <c r="AQ5" s="1073">
        <v>0</v>
      </c>
    </row>
    <row r="6" spans="1:43" ht="23.25" hidden="1" customHeight="1">
      <c r="A6" s="1281"/>
      <c r="B6" s="1281"/>
      <c r="C6" s="1281"/>
      <c r="D6" s="1281"/>
      <c r="E6" s="2779"/>
      <c r="F6" s="2779"/>
      <c r="G6" s="2779"/>
      <c r="H6" s="2779"/>
      <c r="I6" s="2787"/>
      <c r="J6" s="2776" t="e">
        <f>I5&amp;".1"</f>
        <v>#N/A</v>
      </c>
      <c r="K6" s="1281"/>
      <c r="L6" s="1282" t="s">
        <v>408</v>
      </c>
      <c r="P6" s="2777"/>
      <c r="Q6" s="2777">
        <v>1</v>
      </c>
      <c r="R6" s="292"/>
      <c r="S6" s="1375" t="e">
        <f>$J6</f>
        <v>#N/A</v>
      </c>
      <c r="T6" s="222" t="s">
        <v>409</v>
      </c>
      <c r="U6" s="236"/>
      <c r="V6" s="2769"/>
      <c r="W6" s="2770"/>
      <c r="X6" s="2770"/>
      <c r="Y6" s="2770"/>
      <c r="Z6" s="2770"/>
      <c r="AA6" s="2770"/>
      <c r="AB6" s="2771"/>
      <c r="AC6" s="2769"/>
      <c r="AD6" s="2770"/>
      <c r="AE6" s="2770"/>
      <c r="AF6" s="2770"/>
      <c r="AG6" s="2770"/>
      <c r="AH6" s="2770"/>
      <c r="AI6" s="2770"/>
      <c r="AJ6" s="2771"/>
      <c r="AK6" s="1225" t="s">
        <v>487</v>
      </c>
      <c r="AM6" s="435"/>
      <c r="AN6" s="435" t="str">
        <f t="shared" si="0"/>
        <v>Группа потребителей</v>
      </c>
      <c r="AO6" s="435"/>
      <c r="AP6" s="435"/>
      <c r="AQ6" s="1073">
        <v>0</v>
      </c>
    </row>
    <row r="7" spans="1:43" ht="23.25" hidden="1" customHeight="1">
      <c r="A7" s="1281"/>
      <c r="B7" s="1281"/>
      <c r="C7" s="1281"/>
      <c r="D7" s="1281"/>
      <c r="E7" s="2779"/>
      <c r="F7" s="2779"/>
      <c r="G7" s="2779"/>
      <c r="H7" s="2779"/>
      <c r="I7" s="2787"/>
      <c r="J7" s="2787"/>
      <c r="K7" s="2776" t="e">
        <f>J6&amp;".1"</f>
        <v>#N/A</v>
      </c>
      <c r="L7" s="1282"/>
      <c r="P7" s="2777"/>
      <c r="Q7" s="2777"/>
      <c r="R7" s="292">
        <v>1</v>
      </c>
      <c r="S7" s="1375" t="e">
        <f>$K7</f>
        <v>#N/A</v>
      </c>
      <c r="T7" s="1355"/>
      <c r="U7" s="236"/>
      <c r="V7" s="686"/>
      <c r="W7" s="686"/>
      <c r="X7" s="1175"/>
      <c r="Y7" s="2753"/>
      <c r="Z7" s="2619" t="s">
        <v>66</v>
      </c>
      <c r="AA7" s="2753"/>
      <c r="AB7" s="2619" t="s">
        <v>66</v>
      </c>
      <c r="AC7" s="686"/>
      <c r="AD7" s="686"/>
      <c r="AE7" s="1175"/>
      <c r="AF7" s="2753"/>
      <c r="AG7" s="2619" t="s">
        <v>66</v>
      </c>
      <c r="AH7" s="2788"/>
      <c r="AI7" s="2619" t="s">
        <v>66</v>
      </c>
      <c r="AJ7" s="1356"/>
      <c r="AK7" s="28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779"/>
      <c r="F8" s="2779"/>
      <c r="G8" s="2779"/>
      <c r="H8" s="2779"/>
      <c r="I8" s="2787"/>
      <c r="J8" s="2787"/>
      <c r="K8" s="2776"/>
      <c r="L8" s="1282"/>
      <c r="P8" s="2777"/>
      <c r="Q8" s="2777"/>
      <c r="R8" s="292"/>
      <c r="S8" s="1374"/>
      <c r="T8" s="236"/>
      <c r="U8" s="236"/>
      <c r="V8" s="261"/>
      <c r="W8" s="261"/>
      <c r="X8" s="264" t="str">
        <f>Y7&amp;"-"&amp;AA7</f>
        <v>-</v>
      </c>
      <c r="Y8" s="2752"/>
      <c r="Z8" s="2619"/>
      <c r="AA8" s="2752"/>
      <c r="AB8" s="2619"/>
      <c r="AC8" s="261"/>
      <c r="AD8" s="261"/>
      <c r="AE8" s="264" t="str">
        <f>AF7&amp;"-"&amp;AH7</f>
        <v>-</v>
      </c>
      <c r="AF8" s="2752"/>
      <c r="AG8" s="2619"/>
      <c r="AH8" s="2789"/>
      <c r="AI8" s="2619"/>
      <c r="AJ8" s="1357"/>
      <c r="AK8" s="2832"/>
      <c r="AM8" s="435"/>
      <c r="AN8" s="435" t="str">
        <f t="shared" si="0"/>
        <v/>
      </c>
      <c r="AO8" s="435"/>
      <c r="AP8" s="435"/>
      <c r="AQ8" s="1073">
        <v>0</v>
      </c>
    </row>
    <row r="9" spans="1:43" ht="21" hidden="1" customHeight="1">
      <c r="A9" s="1281"/>
      <c r="B9" s="1281"/>
      <c r="C9" s="1281"/>
      <c r="D9" s="1281"/>
      <c r="E9" s="2779"/>
      <c r="F9" s="2779"/>
      <c r="G9" s="2779"/>
      <c r="H9" s="2779"/>
      <c r="I9" s="2787"/>
      <c r="J9" s="2776"/>
      <c r="K9" s="1281"/>
      <c r="L9" s="1282"/>
      <c r="P9" s="2777"/>
      <c r="Q9" s="2777"/>
      <c r="R9" s="291"/>
      <c r="S9" s="1196"/>
      <c r="T9" s="223" t="s">
        <v>488</v>
      </c>
      <c r="U9" s="302"/>
      <c r="V9" s="302"/>
      <c r="W9" s="302"/>
      <c r="X9" s="302"/>
      <c r="Y9" s="302"/>
      <c r="Z9" s="302"/>
      <c r="AA9" s="302"/>
      <c r="AB9" s="302"/>
      <c r="AC9" s="302"/>
      <c r="AD9" s="302"/>
      <c r="AE9" s="302"/>
      <c r="AF9" s="302"/>
      <c r="AG9" s="302"/>
      <c r="AH9" s="302"/>
      <c r="AI9" s="302"/>
      <c r="AJ9" s="302"/>
      <c r="AK9" s="1176" t="s">
        <v>489</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779"/>
      <c r="F10" s="2779"/>
      <c r="G10" s="2779"/>
      <c r="H10" s="2779"/>
      <c r="I10" s="2776"/>
      <c r="J10" s="1281"/>
      <c r="K10" s="1281"/>
      <c r="L10" s="1282"/>
      <c r="P10" s="2777"/>
      <c r="Q10" s="1368"/>
      <c r="R10" s="291"/>
      <c r="S10" s="1196"/>
      <c r="T10" s="300" t="s">
        <v>414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779"/>
      <c r="F11" s="2779"/>
      <c r="G11" s="2779"/>
      <c r="H11" s="2778"/>
      <c r="I11" s="1281"/>
      <c r="J11" s="1281"/>
      <c r="K11" s="1281"/>
      <c r="L11" s="1282"/>
      <c r="M11" s="1283"/>
      <c r="N11" s="1283"/>
      <c r="O11" s="472"/>
      <c r="P11" s="295"/>
      <c r="Q11" s="310"/>
      <c r="R11" s="290"/>
      <c r="S11" s="1196"/>
      <c r="T11" s="307" t="s">
        <v>490</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520" customFormat="1" ht="14.25" hidden="1" customHeight="1">
      <c r="A12" s="1261"/>
      <c r="B12" s="1261"/>
      <c r="C12" s="1232"/>
      <c r="D12" s="1232"/>
      <c r="E12" s="2779"/>
      <c r="F12" s="2778"/>
      <c r="G12" s="1232"/>
      <c r="H12" s="1232"/>
      <c r="I12" s="1232"/>
      <c r="J12" s="1232"/>
      <c r="K12" s="1232"/>
      <c r="L12" s="1376"/>
      <c r="M12" s="1239"/>
      <c r="N12" s="1239"/>
      <c r="P12" s="1234"/>
      <c r="Q12" s="1235"/>
      <c r="R12" s="1234"/>
      <c r="S12" s="1240"/>
      <c r="T12" s="1243" t="s">
        <v>161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520" customFormat="1" ht="14.25" hidden="1" customHeight="1">
      <c r="A13" s="1261"/>
      <c r="B13" s="1261"/>
      <c r="C13" s="1261"/>
      <c r="D13" s="1261"/>
      <c r="E13" s="2778"/>
      <c r="F13" s="1261"/>
      <c r="G13" s="1261"/>
      <c r="H13" s="1261"/>
      <c r="I13" s="1261"/>
      <c r="J13" s="1261"/>
      <c r="K13" s="1261"/>
      <c r="L13" s="1264"/>
      <c r="M13" s="1239"/>
      <c r="N13" s="1239"/>
      <c r="O13" s="453"/>
      <c r="P13" s="315"/>
      <c r="Q13" s="1262"/>
      <c r="R13" s="315"/>
      <c r="S13" s="1240"/>
      <c r="T13" s="1243" t="s">
        <v>162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780"/>
      <c r="AG15" s="2781" t="s">
        <v>66</v>
      </c>
      <c r="AH15" s="2780"/>
      <c r="AI15" s="2781" t="s">
        <v>66</v>
      </c>
      <c r="AQ15" s="1073">
        <v>0</v>
      </c>
    </row>
    <row r="16" spans="1:43" ht="14.25" hidden="1" customHeight="1">
      <c r="AC16" s="1278"/>
      <c r="AD16" s="1278"/>
      <c r="AE16" s="264" t="str">
        <f>AF15&amp;"-"&amp;AH15</f>
        <v>-</v>
      </c>
      <c r="AF16" s="2781"/>
      <c r="AG16" s="2781"/>
      <c r="AH16" s="2781"/>
      <c r="AI16" s="2781"/>
      <c r="AQ16" s="1073">
        <v>0</v>
      </c>
    </row>
    <row r="17" spans="1:43" ht="14.25" hidden="1" customHeight="1">
      <c r="AI17" s="263"/>
      <c r="AQ17" s="1073">
        <v>0</v>
      </c>
    </row>
    <row r="18" spans="1:43" s="2519" customFormat="1" ht="22.5" hidden="1" customHeight="1">
      <c r="L18" s="1365"/>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519"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519" customFormat="1" ht="12" hidden="1" customHeight="1">
      <c r="L20" s="1365"/>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74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49"/>
      <c r="U24" s="2749"/>
      <c r="V24" s="2749"/>
      <c r="W24" s="2749"/>
      <c r="X24" s="2749"/>
      <c r="Y24" s="2749"/>
      <c r="Z24" s="2749"/>
      <c r="AA24" s="2749"/>
      <c r="AB24" s="2749"/>
      <c r="AC24" s="2749"/>
      <c r="AD24" s="2749"/>
      <c r="AE24" s="2749"/>
      <c r="AF24" s="2749"/>
      <c r="AG24" s="2749"/>
      <c r="AH24" s="2749"/>
      <c r="AI24" s="1161"/>
      <c r="AQ24" s="1073">
        <v>14</v>
      </c>
    </row>
    <row r="25" spans="1:43" ht="14.65" customHeight="1">
      <c r="Q25" s="311"/>
      <c r="R25" s="311"/>
      <c r="S25" s="2696" t="str">
        <f>IF(org=0,"Не определено",org)</f>
        <v>ООО "Ноябрьская ПГЭ"</v>
      </c>
      <c r="T25" s="2696"/>
      <c r="U25" s="2696"/>
      <c r="V25" s="2696"/>
      <c r="W25" s="2696"/>
      <c r="X25" s="2696"/>
      <c r="Y25" s="2696"/>
      <c r="Z25" s="2696"/>
      <c r="AA25" s="2696"/>
      <c r="AB25" s="2696"/>
      <c r="AC25" s="2696"/>
      <c r="AD25" s="2696"/>
      <c r="AE25" s="2696"/>
      <c r="AF25" s="2696"/>
      <c r="AG25" s="2696"/>
      <c r="AH25" s="2696"/>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529" customFormat="1" ht="25.5" hidden="1" customHeight="1">
      <c r="A27" s="1286"/>
      <c r="B27" s="1286"/>
      <c r="C27" s="1286"/>
      <c r="D27" s="1286"/>
      <c r="E27" s="1286"/>
      <c r="F27" s="1286"/>
      <c r="G27" s="1286"/>
      <c r="H27" s="1286"/>
      <c r="I27" s="1286"/>
      <c r="J27" s="1286"/>
      <c r="K27" s="1286"/>
      <c r="L27" s="1287"/>
      <c r="M27" s="1286"/>
      <c r="N27" s="1286"/>
      <c r="O27" s="1286"/>
      <c r="S27" s="2772" t="s">
        <v>42</v>
      </c>
      <c r="T27" s="2772"/>
      <c r="U27" s="1290"/>
      <c r="V27" s="2754" t="str">
        <f>IF(TITLE_NAME_OR_PR_CHANGE="",IF(TITLE_NAME_OR_PR="","",TITLE_NAME_OR_PR),TITLE_NAME_OR_PR_CHANGE)</f>
        <v/>
      </c>
      <c r="W27" s="2754"/>
      <c r="X27" s="2754"/>
      <c r="Y27" s="2754"/>
      <c r="Z27" s="2754"/>
      <c r="AA27" s="2754"/>
      <c r="AB27" s="262"/>
      <c r="AC27" s="2754" t="str">
        <f>IF(TITLE_NAME_OR_PR_CHANGE="",IF(TITLE_NAME_OR_PR="","",TITLE_NAME_OR_PR),TITLE_NAME_OR_PR_CHANGE)</f>
        <v/>
      </c>
      <c r="AD27" s="2754"/>
      <c r="AE27" s="2754"/>
      <c r="AF27" s="2754"/>
      <c r="AG27" s="2754"/>
      <c r="AH27" s="2754"/>
      <c r="AI27" s="262"/>
      <c r="AJ27" s="262"/>
      <c r="AK27" s="216"/>
      <c r="AL27" s="303"/>
      <c r="AM27" s="303"/>
      <c r="AN27" s="303"/>
      <c r="AO27" s="303"/>
      <c r="AP27" s="303"/>
      <c r="AQ27" s="353">
        <v>0</v>
      </c>
    </row>
    <row r="28" spans="1:43" s="2529" customFormat="1" ht="18.75" hidden="1" customHeight="1">
      <c r="A28" s="1286"/>
      <c r="B28" s="1286"/>
      <c r="C28" s="1286"/>
      <c r="D28" s="1286"/>
      <c r="E28" s="1286"/>
      <c r="F28" s="1286"/>
      <c r="G28" s="1286"/>
      <c r="H28" s="1286"/>
      <c r="I28" s="1286"/>
      <c r="J28" s="1286"/>
      <c r="K28" s="1286"/>
      <c r="L28" s="1287"/>
      <c r="M28" s="1286"/>
      <c r="N28" s="1286"/>
      <c r="O28" s="1286"/>
      <c r="S28" s="2772" t="s">
        <v>422</v>
      </c>
      <c r="T28" s="2772"/>
      <c r="U28" s="1290"/>
      <c r="V28" s="2755">
        <f>IF(TITLE_DATE_PR_CHANGE="",IF(TITLE_DATE_PR="","",TITLE_DATE_PR),TITLE_DATE_PR_CHANGE)</f>
        <v>45583</v>
      </c>
      <c r="W28" s="2755"/>
      <c r="X28" s="2755"/>
      <c r="Y28" s="2755"/>
      <c r="Z28" s="2755"/>
      <c r="AA28" s="2755"/>
      <c r="AB28" s="262"/>
      <c r="AC28" s="2755">
        <f>IF(TITLE_DATE_PR_CHANGE="",IF(TITLE_DATE_PR="","",TITLE_DATE_PR),TITLE_DATE_PR_CHANGE)</f>
        <v>45583</v>
      </c>
      <c r="AD28" s="2755"/>
      <c r="AE28" s="2755"/>
      <c r="AF28" s="2755"/>
      <c r="AG28" s="2755"/>
      <c r="AH28" s="2755"/>
      <c r="AI28" s="262"/>
      <c r="AJ28" s="262"/>
      <c r="AK28" s="216"/>
      <c r="AL28" s="303"/>
      <c r="AM28" s="303"/>
      <c r="AN28" s="303"/>
      <c r="AO28" s="303"/>
      <c r="AP28" s="303"/>
      <c r="AQ28" s="353">
        <v>0</v>
      </c>
    </row>
    <row r="29" spans="1:43" s="2529" customFormat="1" ht="18.75" hidden="1" customHeight="1">
      <c r="A29" s="1286"/>
      <c r="B29" s="1286"/>
      <c r="C29" s="1286"/>
      <c r="D29" s="1286"/>
      <c r="E29" s="1286"/>
      <c r="F29" s="1286"/>
      <c r="G29" s="1286"/>
      <c r="H29" s="1286"/>
      <c r="I29" s="1286"/>
      <c r="J29" s="1286"/>
      <c r="K29" s="1286"/>
      <c r="L29" s="1287"/>
      <c r="M29" s="1286"/>
      <c r="N29" s="1286"/>
      <c r="O29" s="1286"/>
      <c r="S29" s="2772" t="s">
        <v>423</v>
      </c>
      <c r="T29" s="2772"/>
      <c r="U29" s="1290"/>
      <c r="V29" s="2754" t="str">
        <f>IF(TITLE_NUMBER_PR_CHANGE="",IF(TITLE_NUMBER_PR="","",TITLE_NUMBER_PR),TITLE_NUMBER_PR_CHANGE)</f>
        <v>18-3341</v>
      </c>
      <c r="W29" s="2754"/>
      <c r="X29" s="2754"/>
      <c r="Y29" s="2754"/>
      <c r="Z29" s="2754"/>
      <c r="AA29" s="2754"/>
      <c r="AB29" s="262"/>
      <c r="AC29" s="2754" t="str">
        <f>IF(TITLE_NUMBER_PR_CHANGE="",IF(TITLE_NUMBER_PR="","",TITLE_NUMBER_PR),TITLE_NUMBER_PR_CHANGE)</f>
        <v>18-3341</v>
      </c>
      <c r="AD29" s="2754"/>
      <c r="AE29" s="2754"/>
      <c r="AF29" s="2754"/>
      <c r="AG29" s="2754"/>
      <c r="AH29" s="2754"/>
      <c r="AI29" s="262"/>
      <c r="AJ29" s="262"/>
      <c r="AK29" s="216"/>
      <c r="AL29" s="303"/>
      <c r="AM29" s="303"/>
      <c r="AN29" s="303"/>
      <c r="AO29" s="303"/>
      <c r="AP29" s="303"/>
      <c r="AQ29" s="353">
        <v>0</v>
      </c>
    </row>
    <row r="30" spans="1:43" s="2529" customFormat="1" ht="18.75" hidden="1" customHeight="1">
      <c r="A30" s="1286"/>
      <c r="B30" s="1286"/>
      <c r="C30" s="1286"/>
      <c r="D30" s="1286"/>
      <c r="E30" s="1286"/>
      <c r="F30" s="1286"/>
      <c r="G30" s="1286"/>
      <c r="H30" s="1286"/>
      <c r="I30" s="1286"/>
      <c r="J30" s="1286"/>
      <c r="K30" s="1286"/>
      <c r="L30" s="1287"/>
      <c r="M30" s="1286"/>
      <c r="N30" s="1286"/>
      <c r="O30" s="1286"/>
      <c r="S30" s="2772" t="s">
        <v>43</v>
      </c>
      <c r="T30" s="2772"/>
      <c r="U30" s="1290"/>
      <c r="V30" s="2754" t="str">
        <f>IF(TITLE_IST_PUB_CHANGE="",IF(TITLE_IST_PUB="","",TITLE_IST_PUB),TITLE_IST_PUB_CHANGE)</f>
        <v/>
      </c>
      <c r="W30" s="2754"/>
      <c r="X30" s="2754"/>
      <c r="Y30" s="2754"/>
      <c r="Z30" s="2754"/>
      <c r="AA30" s="2754"/>
      <c r="AB30" s="262"/>
      <c r="AC30" s="2754" t="str">
        <f>IF(TITLE_IST_PUB_CHANGE="",IF(TITLE_IST_PUB="","",TITLE_IST_PUB),TITLE_IST_PUB_CHANGE)</f>
        <v/>
      </c>
      <c r="AD30" s="2754"/>
      <c r="AE30" s="2754"/>
      <c r="AF30" s="2754"/>
      <c r="AG30" s="2754"/>
      <c r="AH30" s="2754"/>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529" customFormat="1" ht="18.75" customHeight="1">
      <c r="A32" s="1286"/>
      <c r="B32" s="1286"/>
      <c r="C32" s="1286"/>
      <c r="D32" s="1286"/>
      <c r="E32" s="1286"/>
      <c r="F32" s="1286"/>
      <c r="G32" s="1286"/>
      <c r="H32" s="1286"/>
      <c r="I32" s="1286"/>
      <c r="J32" s="1286"/>
      <c r="K32" s="1286"/>
      <c r="L32" s="1287"/>
      <c r="M32" s="1286"/>
      <c r="N32" s="1286"/>
      <c r="O32" s="1286"/>
      <c r="S32" s="2772" t="s">
        <v>424</v>
      </c>
      <c r="T32" s="2772"/>
      <c r="U32" s="1290"/>
      <c r="V32" s="2755">
        <f>IF(TITLE_DATE_PR_CHANGE="",IF(TITLE_DATE_PR="","",TITLE_DATE_PR),TITLE_DATE_PR_CHANGE)</f>
        <v>45583</v>
      </c>
      <c r="W32" s="2755"/>
      <c r="X32" s="2755"/>
      <c r="Y32" s="2755"/>
      <c r="Z32" s="2755"/>
      <c r="AA32" s="2755"/>
      <c r="AB32" s="262"/>
      <c r="AC32" s="2755">
        <f>IF(TITLE_DATE_PR_CHANGE="",IF(TITLE_DATE_PR="","",TITLE_DATE_PR),TITLE_DATE_PR_CHANGE)</f>
        <v>45583</v>
      </c>
      <c r="AD32" s="2755"/>
      <c r="AE32" s="2755"/>
      <c r="AF32" s="2755"/>
      <c r="AG32" s="2755"/>
      <c r="AH32" s="2755"/>
      <c r="AI32" s="262"/>
      <c r="AJ32" s="262"/>
      <c r="AK32" s="216"/>
      <c r="AL32" s="303"/>
      <c r="AM32" s="303"/>
      <c r="AN32" s="303"/>
      <c r="AO32" s="303"/>
      <c r="AP32" s="303"/>
      <c r="AQ32" s="353">
        <v>0</v>
      </c>
    </row>
    <row r="33" spans="1:43" s="2529" customFormat="1" ht="18.75" customHeight="1">
      <c r="A33" s="1286"/>
      <c r="B33" s="1286"/>
      <c r="C33" s="1286"/>
      <c r="D33" s="1286"/>
      <c r="E33" s="1286"/>
      <c r="F33" s="1286"/>
      <c r="G33" s="1286"/>
      <c r="H33" s="1286"/>
      <c r="I33" s="1286"/>
      <c r="J33" s="1286"/>
      <c r="K33" s="1286"/>
      <c r="L33" s="1287"/>
      <c r="M33" s="1286"/>
      <c r="N33" s="1286"/>
      <c r="O33" s="1286"/>
      <c r="S33" s="2772" t="s">
        <v>425</v>
      </c>
      <c r="T33" s="2772"/>
      <c r="U33" s="1290"/>
      <c r="V33" s="2754" t="str">
        <f>IF(TITLE_NUMBER_PR_CHANGE="",IF(TITLE_NUMBER_PR="","",TITLE_NUMBER_PR),TITLE_NUMBER_PR_CHANGE)</f>
        <v>18-3341</v>
      </c>
      <c r="W33" s="2754"/>
      <c r="X33" s="2754"/>
      <c r="Y33" s="2754"/>
      <c r="Z33" s="2754"/>
      <c r="AA33" s="2754"/>
      <c r="AB33" s="262"/>
      <c r="AC33" s="2754" t="str">
        <f>IF(TITLE_NUMBER_PR_CHANGE="",IF(TITLE_NUMBER_PR="","",TITLE_NUMBER_PR),TITLE_NUMBER_PR_CHANGE)</f>
        <v>18-3341</v>
      </c>
      <c r="AD33" s="2754"/>
      <c r="AE33" s="2754"/>
      <c r="AF33" s="2754"/>
      <c r="AG33" s="2754"/>
      <c r="AH33" s="2754"/>
      <c r="AI33" s="262"/>
      <c r="AJ33" s="262"/>
      <c r="AK33" s="216"/>
      <c r="AL33" s="303"/>
      <c r="AM33" s="303"/>
      <c r="AN33" s="303"/>
      <c r="AO33" s="303"/>
      <c r="AP33" s="303"/>
      <c r="AQ33" s="353">
        <v>0</v>
      </c>
    </row>
    <row r="34" spans="1:43" s="2529"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756"/>
      <c r="W35" s="2756"/>
      <c r="X35" s="2756"/>
      <c r="Y35" s="2756"/>
      <c r="Z35" s="2756"/>
      <c r="AA35" s="2756"/>
      <c r="AB35" s="2756"/>
      <c r="AC35" s="2756"/>
      <c r="AD35" s="2756"/>
      <c r="AE35" s="2756"/>
      <c r="AF35" s="2756"/>
      <c r="AG35" s="2756"/>
      <c r="AH35" s="2756"/>
      <c r="AI35" s="2756"/>
      <c r="AQ35" s="1073">
        <v>14</v>
      </c>
    </row>
    <row r="36" spans="1:43" ht="14.65" customHeight="1">
      <c r="Q36" s="311"/>
      <c r="R36" s="311"/>
      <c r="S36" s="2638" t="s">
        <v>302</v>
      </c>
      <c r="T36" s="2638"/>
      <c r="U36" s="2638"/>
      <c r="V36" s="2638"/>
      <c r="W36" s="2638"/>
      <c r="X36" s="2638"/>
      <c r="Y36" s="2638"/>
      <c r="Z36" s="2638"/>
      <c r="AA36" s="2638"/>
      <c r="AB36" s="2638"/>
      <c r="AC36" s="2638"/>
      <c r="AD36" s="2638"/>
      <c r="AE36" s="2638"/>
      <c r="AF36" s="2638"/>
      <c r="AG36" s="2638"/>
      <c r="AH36" s="2638"/>
      <c r="AI36" s="2638"/>
      <c r="AJ36" s="2638"/>
      <c r="AK36" s="2638" t="s">
        <v>303</v>
      </c>
      <c r="AQ36" s="1073">
        <v>14</v>
      </c>
    </row>
    <row r="37" spans="1:43" ht="14.65" customHeight="1">
      <c r="Q37" s="311"/>
      <c r="R37" s="311"/>
      <c r="S37" s="2782" t="s">
        <v>87</v>
      </c>
      <c r="T37" s="2724" t="s">
        <v>428</v>
      </c>
      <c r="U37" s="237"/>
      <c r="V37" s="2757" t="s">
        <v>429</v>
      </c>
      <c r="W37" s="2758"/>
      <c r="X37" s="2758"/>
      <c r="Y37" s="2758"/>
      <c r="Z37" s="2758"/>
      <c r="AA37" s="2759"/>
      <c r="AB37" s="2760" t="s">
        <v>430</v>
      </c>
      <c r="AC37" s="2757" t="s">
        <v>429</v>
      </c>
      <c r="AD37" s="2758"/>
      <c r="AE37" s="2758"/>
      <c r="AF37" s="2758"/>
      <c r="AG37" s="2758"/>
      <c r="AH37" s="2759"/>
      <c r="AI37" s="2760" t="s">
        <v>431</v>
      </c>
      <c r="AJ37" s="2783" t="s">
        <v>432</v>
      </c>
      <c r="AK37" s="2638"/>
      <c r="AQ37" s="1073">
        <v>14</v>
      </c>
    </row>
    <row r="38" spans="1:43" ht="35.65" customHeight="1">
      <c r="Q38" s="311"/>
      <c r="R38" s="311"/>
      <c r="S38" s="2782"/>
      <c r="T38" s="2724"/>
      <c r="U38" s="953"/>
      <c r="V38" s="1370" t="s">
        <v>491</v>
      </c>
      <c r="W38" s="2610" t="s">
        <v>435</v>
      </c>
      <c r="X38" s="2609"/>
      <c r="Y38" s="2610" t="s">
        <v>436</v>
      </c>
      <c r="Z38" s="2615"/>
      <c r="AA38" s="2609"/>
      <c r="AB38" s="2761"/>
      <c r="AC38" s="1370" t="s">
        <v>491</v>
      </c>
      <c r="AD38" s="2610" t="s">
        <v>435</v>
      </c>
      <c r="AE38" s="2609"/>
      <c r="AF38" s="2610" t="s">
        <v>436</v>
      </c>
      <c r="AG38" s="2615"/>
      <c r="AH38" s="2609"/>
      <c r="AI38" s="2761"/>
      <c r="AJ38" s="2784"/>
      <c r="AK38" s="2638"/>
      <c r="AQ38" s="1073">
        <v>34</v>
      </c>
    </row>
    <row r="39" spans="1:43" ht="35.65" customHeight="1">
      <c r="A39" s="1288"/>
      <c r="B39" s="1288" t="s">
        <v>134</v>
      </c>
      <c r="C39" s="1288" t="s">
        <v>135</v>
      </c>
      <c r="D39" s="1288" t="s">
        <v>136</v>
      </c>
      <c r="E39" s="1282" t="s">
        <v>437</v>
      </c>
      <c r="F39" s="1282" t="s">
        <v>438</v>
      </c>
      <c r="G39" s="1282" t="s">
        <v>439</v>
      </c>
      <c r="H39" s="1282"/>
      <c r="I39" s="1282" t="s">
        <v>492</v>
      </c>
      <c r="J39" s="1282" t="s">
        <v>442</v>
      </c>
      <c r="K39" s="1282" t="s">
        <v>493</v>
      </c>
      <c r="L39" s="1282" t="s">
        <v>417</v>
      </c>
      <c r="Q39" s="311"/>
      <c r="R39" s="311"/>
      <c r="S39" s="2782"/>
      <c r="T39" s="2724"/>
      <c r="U39" s="238"/>
      <c r="V39" s="1370" t="s">
        <v>494</v>
      </c>
      <c r="W39" s="1140" t="s">
        <v>495</v>
      </c>
      <c r="X39" s="1140" t="s">
        <v>496</v>
      </c>
      <c r="Y39" s="1373" t="s">
        <v>446</v>
      </c>
      <c r="Z39" s="2733" t="s">
        <v>447</v>
      </c>
      <c r="AA39" s="2735"/>
      <c r="AB39" s="2762"/>
      <c r="AC39" s="1370" t="s">
        <v>494</v>
      </c>
      <c r="AD39" s="1140" t="s">
        <v>495</v>
      </c>
      <c r="AE39" s="1140" t="s">
        <v>496</v>
      </c>
      <c r="AF39" s="1373" t="s">
        <v>446</v>
      </c>
      <c r="AG39" s="2733" t="s">
        <v>447</v>
      </c>
      <c r="AH39" s="2735"/>
      <c r="AI39" s="2762"/>
      <c r="AJ39" s="2785"/>
      <c r="AK39" s="2638"/>
      <c r="AQ39" s="1073">
        <v>34</v>
      </c>
    </row>
    <row r="40" spans="1:43" s="2544"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108</v>
      </c>
      <c r="T40" s="1173" t="s">
        <v>109</v>
      </c>
      <c r="U40" s="1163" t="str">
        <f ca="1">OFFSET(U40,0,-1)</f>
        <v>2</v>
      </c>
      <c r="V40" s="1369">
        <f ca="1">OFFSET(V40,0,-1)+1</f>
        <v>3</v>
      </c>
      <c r="W40" s="1369">
        <f ca="1">OFFSET(W40,0,-1)+1</f>
        <v>4</v>
      </c>
      <c r="X40" s="1369">
        <f ca="1">OFFSET(X40,0,-1)+1</f>
        <v>5</v>
      </c>
      <c r="Y40" s="1369">
        <f ca="1">OFFSET(Y40,0,-1)+1</f>
        <v>6</v>
      </c>
      <c r="Z40" s="2765">
        <f ca="1">OFFSET(Z40,0,-1)+1</f>
        <v>7</v>
      </c>
      <c r="AA40" s="2765"/>
      <c r="AB40" s="1369">
        <f ca="1">OFFSET(AB40,0,-2)+1</f>
        <v>8</v>
      </c>
      <c r="AC40" s="1369">
        <f ca="1">OFFSET(AC40,0,-1)+1</f>
        <v>9</v>
      </c>
      <c r="AD40" s="1369">
        <f ca="1">OFFSET(AD40,0,-1)+1</f>
        <v>10</v>
      </c>
      <c r="AE40" s="1369">
        <f ca="1">OFFSET(AE40,0,-1)+1</f>
        <v>11</v>
      </c>
      <c r="AF40" s="1369">
        <f ca="1">OFFSET(AF40,0,-1)+1</f>
        <v>12</v>
      </c>
      <c r="AG40" s="2765">
        <f ca="1">OFFSET(AG40,0,-1)+1</f>
        <v>13</v>
      </c>
      <c r="AH40" s="2765"/>
      <c r="AI40" s="1369">
        <f ca="1">OFFSET(AI40,0,-2)+1</f>
        <v>14</v>
      </c>
      <c r="AJ40" s="1163">
        <f ca="1">OFFSET(AJ40,0,-1)</f>
        <v>14</v>
      </c>
      <c r="AK40" s="1369">
        <f ca="1">OFFSET(AK40,0,-1)+1</f>
        <v>15</v>
      </c>
      <c r="AL40" s="446"/>
      <c r="AM40" s="446"/>
      <c r="AN40" s="446"/>
      <c r="AO40" s="446"/>
      <c r="AP40" s="446"/>
      <c r="AQ40" s="431">
        <v>0</v>
      </c>
    </row>
    <row r="41" spans="1:43" ht="24" customHeight="1">
      <c r="A41" s="1281" t="s">
        <v>243</v>
      </c>
      <c r="B41" s="1281"/>
      <c r="C41" s="1281"/>
      <c r="D41" s="1281"/>
      <c r="E41" s="2778">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122</v>
      </c>
      <c r="U41" s="236"/>
      <c r="V41" s="2766"/>
      <c r="W41" s="2767"/>
      <c r="X41" s="2767"/>
      <c r="Y41" s="2767"/>
      <c r="Z41" s="2767"/>
      <c r="AA41" s="2767"/>
      <c r="AB41" s="2768"/>
      <c r="AC41" s="2766" t="str">
        <f>INDEX(PT_DIFFERENTIATION_NTAR,MATCH(A41,PT_DIFFERENTIATION_NTAR_ID,0))</f>
        <v/>
      </c>
      <c r="AD41" s="2767"/>
      <c r="AE41" s="2767"/>
      <c r="AF41" s="2767"/>
      <c r="AG41" s="2767"/>
      <c r="AH41" s="2767"/>
      <c r="AI41" s="2767"/>
      <c r="AJ41" s="276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243</v>
      </c>
      <c r="B42" s="1281" t="s">
        <v>244</v>
      </c>
      <c r="C42" s="1281"/>
      <c r="D42" s="1281"/>
      <c r="E42" s="2779"/>
      <c r="F42" s="2778">
        <v>1</v>
      </c>
      <c r="G42" s="1281"/>
      <c r="H42" s="1281"/>
      <c r="I42" s="1281"/>
      <c r="J42" s="1281"/>
      <c r="K42" s="1281"/>
      <c r="L42" s="1282"/>
      <c r="M42" s="1283"/>
      <c r="N42" s="1283"/>
      <c r="O42" s="1283"/>
      <c r="P42" s="1371"/>
      <c r="Q42" s="287"/>
      <c r="R42" s="288"/>
      <c r="S42" s="1375" t="str">
        <f>INDEX(PT_DIFFERENTIATION_NUM_TER,MATCH(B42,PT_DIFFERENTIATION_TER_ID,0))</f>
        <v>.</v>
      </c>
      <c r="T42" s="244" t="s">
        <v>399</v>
      </c>
      <c r="U42" s="236"/>
      <c r="V42" s="2766"/>
      <c r="W42" s="2767"/>
      <c r="X42" s="2767"/>
      <c r="Y42" s="2767"/>
      <c r="Z42" s="2767"/>
      <c r="AA42" s="2767"/>
      <c r="AB42" s="2768"/>
      <c r="AC42" s="2766" t="str">
        <f>INDEX(PT_DIFFERENTIATION_TER,MATCH(B42,PT_DIFFERENTIATION_TER_ID,0))</f>
        <v/>
      </c>
      <c r="AD42" s="2767"/>
      <c r="AE42" s="2767"/>
      <c r="AF42" s="2767"/>
      <c r="AG42" s="2767"/>
      <c r="AH42" s="2767"/>
      <c r="AI42" s="2767"/>
      <c r="AJ42" s="2768"/>
      <c r="AK42" s="1176" t="s">
        <v>400</v>
      </c>
      <c r="AM42" s="435"/>
      <c r="AN42" s="435" t="str">
        <f t="shared" si="1"/>
        <v>Территория действия тарифа</v>
      </c>
      <c r="AO42" s="435"/>
      <c r="AP42" s="435"/>
      <c r="AQ42" s="1073">
        <v>23</v>
      </c>
    </row>
    <row r="43" spans="1:43" ht="24" customHeight="1">
      <c r="A43" s="1281" t="s">
        <v>243</v>
      </c>
      <c r="B43" s="1281" t="s">
        <v>244</v>
      </c>
      <c r="C43" s="1281" t="s">
        <v>245</v>
      </c>
      <c r="D43" s="1281"/>
      <c r="E43" s="2779"/>
      <c r="F43" s="2779"/>
      <c r="G43" s="2778">
        <v>1</v>
      </c>
      <c r="H43" s="1281"/>
      <c r="I43" s="1281"/>
      <c r="J43" s="1281"/>
      <c r="K43" s="1281"/>
      <c r="L43" s="1282"/>
      <c r="M43" s="1283"/>
      <c r="N43" s="1283"/>
      <c r="O43" s="1283"/>
      <c r="P43" s="289"/>
      <c r="Q43" s="287"/>
      <c r="R43" s="288"/>
      <c r="S43" s="1375" t="str">
        <f>INDEX(PT_DIFFERENTIATION_NUM_CS,MATCH(C43,PT_DIFFERENTIATION_CS_ID,0))</f>
        <v>..</v>
      </c>
      <c r="T43" s="245" t="s">
        <v>483</v>
      </c>
      <c r="U43" s="236"/>
      <c r="V43" s="2766"/>
      <c r="W43" s="2767"/>
      <c r="X43" s="2767"/>
      <c r="Y43" s="2767"/>
      <c r="Z43" s="2767"/>
      <c r="AA43" s="2767"/>
      <c r="AB43" s="2768"/>
      <c r="AC43" s="2766" t="str">
        <f>INDEX(PT_DIFFERENTIATION_CS,MATCH(C43,PT_DIFFERENTIATION_CS_ID,0))</f>
        <v/>
      </c>
      <c r="AD43" s="2767"/>
      <c r="AE43" s="2767"/>
      <c r="AF43" s="2767"/>
      <c r="AG43" s="2767"/>
      <c r="AH43" s="2767"/>
      <c r="AI43" s="2767"/>
      <c r="AJ43" s="2768"/>
      <c r="AK43" s="1176" t="s">
        <v>484</v>
      </c>
      <c r="AM43" s="435"/>
      <c r="AN43" s="435" t="str">
        <f t="shared" si="1"/>
        <v>Наименование централизованной системы холодного водоснабжения</v>
      </c>
      <c r="AO43" s="435"/>
      <c r="AP43" s="435"/>
      <c r="AQ43" s="1073">
        <v>23</v>
      </c>
    </row>
    <row r="44" spans="1:43" ht="24" customHeight="1">
      <c r="A44" s="1281" t="s">
        <v>243</v>
      </c>
      <c r="B44" s="1281" t="s">
        <v>244</v>
      </c>
      <c r="C44" s="1281" t="s">
        <v>245</v>
      </c>
      <c r="D44" s="1281" t="s">
        <v>500</v>
      </c>
      <c r="E44" s="2779"/>
      <c r="F44" s="2779"/>
      <c r="G44" s="2779"/>
      <c r="H44" s="2779"/>
      <c r="I44" s="2776" t="str">
        <f>S43&amp;".1"</f>
        <v>...1</v>
      </c>
      <c r="J44" s="1281"/>
      <c r="K44" s="1281"/>
      <c r="L44" s="1282"/>
      <c r="P44" s="2777">
        <v>1</v>
      </c>
      <c r="Q44" s="1368"/>
      <c r="R44" s="291"/>
      <c r="S44" s="1375" t="str">
        <f>$I44</f>
        <v>...1</v>
      </c>
      <c r="T44" s="221" t="s">
        <v>485</v>
      </c>
      <c r="U44" s="236"/>
      <c r="V44" s="2833"/>
      <c r="W44" s="2834"/>
      <c r="X44" s="2834"/>
      <c r="Y44" s="2834"/>
      <c r="Z44" s="2834"/>
      <c r="AA44" s="2834"/>
      <c r="AB44" s="2835"/>
      <c r="AC44" s="2836"/>
      <c r="AD44" s="2837"/>
      <c r="AE44" s="2837"/>
      <c r="AF44" s="2837"/>
      <c r="AG44" s="2837"/>
      <c r="AH44" s="2837"/>
      <c r="AI44" s="2837"/>
      <c r="AJ44" s="2838"/>
      <c r="AK44" s="1176" t="s">
        <v>486</v>
      </c>
      <c r="AM44" s="435"/>
      <c r="AN44" s="435" t="str">
        <f t="shared" si="1"/>
        <v>Наименование признака дифференциации</v>
      </c>
      <c r="AO44" s="435"/>
      <c r="AP44" s="435"/>
      <c r="AQ44" s="1073">
        <v>23</v>
      </c>
    </row>
    <row r="45" spans="1:43" ht="24" customHeight="1">
      <c r="A45" s="1281" t="s">
        <v>243</v>
      </c>
      <c r="B45" s="1281" t="s">
        <v>244</v>
      </c>
      <c r="C45" s="1281" t="s">
        <v>245</v>
      </c>
      <c r="D45" s="1281" t="s">
        <v>500</v>
      </c>
      <c r="E45" s="2779"/>
      <c r="F45" s="2779"/>
      <c r="G45" s="2779"/>
      <c r="H45" s="2779"/>
      <c r="I45" s="2787"/>
      <c r="J45" s="2776" t="str">
        <f>I44&amp;".1"</f>
        <v>...1.1</v>
      </c>
      <c r="K45" s="1281"/>
      <c r="L45" s="1282" t="s">
        <v>408</v>
      </c>
      <c r="P45" s="2777"/>
      <c r="Q45" s="2777">
        <v>1</v>
      </c>
      <c r="R45" s="292"/>
      <c r="S45" s="1375" t="str">
        <f>$J45</f>
        <v>...1.1</v>
      </c>
      <c r="T45" s="222" t="s">
        <v>409</v>
      </c>
      <c r="U45" s="236"/>
      <c r="V45" s="2769"/>
      <c r="W45" s="2770"/>
      <c r="X45" s="2770"/>
      <c r="Y45" s="2770"/>
      <c r="Z45" s="2770"/>
      <c r="AA45" s="2770"/>
      <c r="AB45" s="2771"/>
      <c r="AC45" s="2769"/>
      <c r="AD45" s="2770"/>
      <c r="AE45" s="2770"/>
      <c r="AF45" s="2770"/>
      <c r="AG45" s="2770"/>
      <c r="AH45" s="2770"/>
      <c r="AI45" s="2770"/>
      <c r="AJ45" s="2771"/>
      <c r="AK45" s="1225" t="s">
        <v>487</v>
      </c>
      <c r="AM45" s="435"/>
      <c r="AN45" s="435" t="str">
        <f t="shared" si="1"/>
        <v>Группа потребителей</v>
      </c>
      <c r="AO45" s="435"/>
      <c r="AP45" s="435"/>
      <c r="AQ45" s="1073">
        <v>23</v>
      </c>
    </row>
    <row r="46" spans="1:43" ht="24" customHeight="1">
      <c r="A46" s="1281" t="s">
        <v>243</v>
      </c>
      <c r="B46" s="1281" t="s">
        <v>244</v>
      </c>
      <c r="C46" s="1281" t="s">
        <v>245</v>
      </c>
      <c r="D46" s="1281" t="s">
        <v>500</v>
      </c>
      <c r="E46" s="2779"/>
      <c r="F46" s="2779"/>
      <c r="G46" s="2779"/>
      <c r="H46" s="2779"/>
      <c r="I46" s="2787"/>
      <c r="J46" s="2787"/>
      <c r="K46" s="2776" t="str">
        <f>J45&amp;".1"</f>
        <v>...1.1.1</v>
      </c>
      <c r="L46" s="1282"/>
      <c r="P46" s="2777"/>
      <c r="Q46" s="2777"/>
      <c r="R46" s="292">
        <v>1</v>
      </c>
      <c r="S46" s="1375" t="str">
        <f>$K46</f>
        <v>...1.1.1</v>
      </c>
      <c r="T46" s="1355"/>
      <c r="U46" s="236"/>
      <c r="V46" s="686"/>
      <c r="W46" s="686"/>
      <c r="X46" s="1175"/>
      <c r="Y46" s="2753"/>
      <c r="Z46" s="2619" t="s">
        <v>66</v>
      </c>
      <c r="AA46" s="2753"/>
      <c r="AB46" s="2619" t="s">
        <v>66</v>
      </c>
      <c r="AC46" s="686"/>
      <c r="AD46" s="686"/>
      <c r="AE46" s="1175"/>
      <c r="AF46" s="2753"/>
      <c r="AG46" s="2619" t="s">
        <v>66</v>
      </c>
      <c r="AH46" s="2788"/>
      <c r="AI46" s="2619" t="s">
        <v>66</v>
      </c>
      <c r="AJ46" s="1356"/>
      <c r="AK46" s="28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243</v>
      </c>
      <c r="B47" s="1281" t="s">
        <v>244</v>
      </c>
      <c r="C47" s="1281" t="s">
        <v>245</v>
      </c>
      <c r="D47" s="1281" t="s">
        <v>500</v>
      </c>
      <c r="E47" s="2779"/>
      <c r="F47" s="2779"/>
      <c r="G47" s="2779"/>
      <c r="H47" s="2779"/>
      <c r="I47" s="2787"/>
      <c r="J47" s="2787"/>
      <c r="K47" s="2776"/>
      <c r="L47" s="1282"/>
      <c r="P47" s="2777"/>
      <c r="Q47" s="2777"/>
      <c r="R47" s="292"/>
      <c r="S47" s="1374"/>
      <c r="T47" s="236"/>
      <c r="U47" s="236"/>
      <c r="V47" s="261"/>
      <c r="W47" s="261"/>
      <c r="X47" s="264" t="str">
        <f>Y46&amp;"-"&amp;AA46</f>
        <v>-</v>
      </c>
      <c r="Y47" s="2752"/>
      <c r="Z47" s="2619"/>
      <c r="AA47" s="2752"/>
      <c r="AB47" s="2619"/>
      <c r="AC47" s="261"/>
      <c r="AD47" s="261"/>
      <c r="AE47" s="264" t="str">
        <f>AF46&amp;"-"&amp;AH46</f>
        <v>-</v>
      </c>
      <c r="AF47" s="2752"/>
      <c r="AG47" s="2619"/>
      <c r="AH47" s="2789"/>
      <c r="AI47" s="2619"/>
      <c r="AJ47" s="1357"/>
      <c r="AK47" s="2832"/>
      <c r="AM47" s="435"/>
      <c r="AN47" s="435" t="str">
        <f t="shared" si="1"/>
        <v/>
      </c>
      <c r="AO47" s="435"/>
      <c r="AP47" s="435"/>
      <c r="AQ47" s="1073">
        <v>0</v>
      </c>
    </row>
    <row r="48" spans="1:43" ht="21" customHeight="1">
      <c r="A48" s="1281" t="s">
        <v>243</v>
      </c>
      <c r="B48" s="1281" t="s">
        <v>244</v>
      </c>
      <c r="C48" s="1281" t="s">
        <v>245</v>
      </c>
      <c r="D48" s="1281" t="s">
        <v>500</v>
      </c>
      <c r="E48" s="2779"/>
      <c r="F48" s="2779"/>
      <c r="G48" s="2779"/>
      <c r="H48" s="2779"/>
      <c r="I48" s="2787"/>
      <c r="J48" s="2776"/>
      <c r="K48" s="1281"/>
      <c r="L48" s="1282"/>
      <c r="P48" s="2777"/>
      <c r="Q48" s="2777"/>
      <c r="R48" s="291"/>
      <c r="S48" s="1196"/>
      <c r="T48" s="223" t="s">
        <v>488</v>
      </c>
      <c r="U48" s="302"/>
      <c r="V48" s="302"/>
      <c r="W48" s="302"/>
      <c r="X48" s="302"/>
      <c r="Y48" s="302"/>
      <c r="Z48" s="302"/>
      <c r="AA48" s="302"/>
      <c r="AB48" s="302"/>
      <c r="AC48" s="302"/>
      <c r="AD48" s="302"/>
      <c r="AE48" s="302"/>
      <c r="AF48" s="302"/>
      <c r="AG48" s="302"/>
      <c r="AH48" s="302"/>
      <c r="AI48" s="302"/>
      <c r="AJ48" s="302"/>
      <c r="AK48" s="1176" t="s">
        <v>489</v>
      </c>
      <c r="AM48" s="435"/>
      <c r="AN48" s="435" t="str">
        <f t="shared" si="1"/>
        <v>Добавить значение признака дифференциации</v>
      </c>
      <c r="AO48" s="435"/>
      <c r="AP48" s="435"/>
      <c r="AQ48" s="1073">
        <v>20</v>
      </c>
    </row>
    <row r="49" spans="1:43" ht="21.95" customHeight="1">
      <c r="A49" s="1281" t="s">
        <v>243</v>
      </c>
      <c r="B49" s="1281" t="s">
        <v>244</v>
      </c>
      <c r="C49" s="1281" t="s">
        <v>245</v>
      </c>
      <c r="D49" s="1281" t="s">
        <v>500</v>
      </c>
      <c r="E49" s="2779"/>
      <c r="F49" s="2779"/>
      <c r="G49" s="2779"/>
      <c r="H49" s="2779"/>
      <c r="I49" s="2776"/>
      <c r="J49" s="1281"/>
      <c r="K49" s="1281"/>
      <c r="L49" s="1282"/>
      <c r="P49" s="2777"/>
      <c r="Q49" s="1368"/>
      <c r="R49" s="291"/>
      <c r="S49" s="1196"/>
      <c r="T49" s="300" t="s">
        <v>414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243</v>
      </c>
      <c r="B50" s="1281" t="s">
        <v>244</v>
      </c>
      <c r="C50" s="1281" t="s">
        <v>245</v>
      </c>
      <c r="D50" s="1281" t="s">
        <v>500</v>
      </c>
      <c r="E50" s="2779"/>
      <c r="F50" s="2779"/>
      <c r="G50" s="2779"/>
      <c r="H50" s="2778"/>
      <c r="I50" s="1281"/>
      <c r="J50" s="1281"/>
      <c r="K50" s="1281"/>
      <c r="L50" s="1282"/>
      <c r="M50" s="1283"/>
      <c r="N50" s="1283"/>
      <c r="O50" s="472"/>
      <c r="P50" s="295"/>
      <c r="Q50" s="310"/>
      <c r="R50" s="290"/>
      <c r="S50" s="1196"/>
      <c r="T50" s="307" t="s">
        <v>490</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520" customFormat="1" ht="0" hidden="1" customHeight="1">
      <c r="A51" s="1261" t="s">
        <v>243</v>
      </c>
      <c r="B51" s="1261" t="s">
        <v>244</v>
      </c>
      <c r="C51" s="1232"/>
      <c r="D51" s="1232"/>
      <c r="E51" s="2779"/>
      <c r="F51" s="2778"/>
      <c r="G51" s="1232"/>
      <c r="H51" s="1232"/>
      <c r="I51" s="1232"/>
      <c r="J51" s="1232"/>
      <c r="K51" s="1232"/>
      <c r="L51" s="1376"/>
      <c r="M51" s="1239"/>
      <c r="N51" s="1239"/>
      <c r="P51" s="1234"/>
      <c r="Q51" s="1235"/>
      <c r="R51" s="1234"/>
      <c r="S51" s="1240"/>
      <c r="T51" s="1243" t="s">
        <v>161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520" customFormat="1" ht="0" hidden="1" customHeight="1">
      <c r="A52" s="1261" t="s">
        <v>243</v>
      </c>
      <c r="B52" s="1261"/>
      <c r="C52" s="1261"/>
      <c r="D52" s="1261"/>
      <c r="E52" s="2778"/>
      <c r="F52" s="1261"/>
      <c r="G52" s="1261"/>
      <c r="H52" s="1261"/>
      <c r="I52" s="1261"/>
      <c r="J52" s="1261"/>
      <c r="K52" s="1261"/>
      <c r="L52" s="1264"/>
      <c r="M52" s="1239"/>
      <c r="N52" s="1239"/>
      <c r="O52" s="453"/>
      <c r="P52" s="315"/>
      <c r="Q52" s="1262"/>
      <c r="R52" s="315"/>
      <c r="S52" s="1240"/>
      <c r="T52" s="1243" t="s">
        <v>162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520"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163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786"/>
      <c r="U55" s="2786"/>
      <c r="V55" s="2786"/>
      <c r="W55" s="2786"/>
      <c r="X55" s="2786"/>
      <c r="Y55" s="2786"/>
      <c r="Z55" s="2786"/>
      <c r="AA55" s="2786"/>
      <c r="AB55" s="2786"/>
      <c r="AC55" s="2786"/>
      <c r="AD55" s="2786"/>
      <c r="AE55" s="2786"/>
      <c r="AF55" s="2786"/>
      <c r="AG55" s="2786"/>
      <c r="AH55" s="2786"/>
      <c r="AI55" s="2786"/>
      <c r="AJ55" s="2786"/>
      <c r="AK55" s="2786"/>
      <c r="AQ55" s="1073">
        <v>14</v>
      </c>
    </row>
    <row r="56" spans="1:43" ht="14.65" customHeight="1">
      <c r="O56" s="472"/>
      <c r="AQ56" s="1073">
        <v>14</v>
      </c>
    </row>
    <row r="57" spans="1:43" ht="14.65" customHeight="1">
      <c r="O57" s="472"/>
      <c r="S57" s="1171"/>
      <c r="T57" s="2786"/>
      <c r="U57" s="2786"/>
      <c r="V57" s="2786"/>
      <c r="W57" s="2786"/>
      <c r="X57" s="2786"/>
      <c r="Y57" s="2786"/>
      <c r="Z57" s="2786"/>
      <c r="AA57" s="2786"/>
      <c r="AB57" s="2786"/>
      <c r="AC57" s="2786"/>
      <c r="AD57" s="2786"/>
      <c r="AE57" s="2786"/>
      <c r="AF57" s="2786"/>
      <c r="AG57" s="2786"/>
      <c r="AH57" s="2786"/>
      <c r="AI57" s="2786"/>
      <c r="AJ57" s="2786"/>
      <c r="AK57" s="2786"/>
      <c r="AQ57" s="1073">
        <v>14</v>
      </c>
    </row>
    <row r="58" spans="1:43" ht="22.5" hidden="1" customHeight="1">
      <c r="A58" s="1078" t="s">
        <v>81</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513" hidden="1" customWidth="1"/>
    <col min="4" max="4" width="11.85546875" style="2513" hidden="1" customWidth="1"/>
    <col min="5" max="11" width="10.140625" style="2513" hidden="1" customWidth="1"/>
    <col min="12" max="12" width="10.140625" style="2517" hidden="1" customWidth="1"/>
    <col min="13" max="15" width="10.140625" style="2547" hidden="1" customWidth="1"/>
    <col min="16" max="16" width="3" style="2546" customWidth="1"/>
    <col min="17" max="17" width="3" style="2552" customWidth="1"/>
    <col min="18" max="18" width="3" style="2548" customWidth="1"/>
    <col min="19" max="19" width="12" style="2549" customWidth="1"/>
    <col min="20" max="20" width="31" style="2513" customWidth="1"/>
    <col min="21" max="21" width="0.140625" style="2513" customWidth="1"/>
    <col min="22" max="23" width="21.7109375" style="2513" hidden="1" customWidth="1"/>
    <col min="24" max="24" width="11.7109375" style="2513" hidden="1" customWidth="1"/>
    <col min="25" max="25" width="3.7109375" style="2513" hidden="1" customWidth="1"/>
    <col min="26" max="26" width="11.7109375" style="2513" hidden="1" customWidth="1"/>
    <col min="27" max="27" width="8.5703125" style="2513" hidden="1" customWidth="1"/>
    <col min="28" max="28" width="27" style="2513" customWidth="1"/>
    <col min="29" max="29" width="24.5703125" style="2513" customWidth="1"/>
    <col min="30" max="31" width="21" style="2513" customWidth="1"/>
    <col min="32" max="32" width="11" style="2513" customWidth="1"/>
    <col min="33" max="33" width="3.7109375" style="2513" customWidth="1"/>
    <col min="34" max="34" width="11" style="2513" customWidth="1"/>
    <col min="35" max="35" width="8.5703125" style="2513" hidden="1" customWidth="1"/>
    <col min="36" max="36" width="4" style="2513" customWidth="1"/>
    <col min="37" max="37" width="115" style="2513" customWidth="1"/>
    <col min="38" max="42" width="10" style="2520" customWidth="1"/>
    <col min="43" max="43" width="10.5703125" style="2513" hidden="1"/>
  </cols>
  <sheetData>
    <row r="1" spans="1:43" ht="0.75" hidden="1" customHeight="1">
      <c r="AQ1" s="1549" t="s">
        <v>14</v>
      </c>
    </row>
    <row r="2" spans="1:43" ht="21" hidden="1" customHeight="1">
      <c r="A2" s="1185"/>
      <c r="B2" s="1185"/>
      <c r="C2" s="1185"/>
      <c r="D2" s="1185"/>
      <c r="E2" s="2790">
        <v>1</v>
      </c>
      <c r="F2" s="1185"/>
      <c r="G2" s="1185"/>
      <c r="H2" s="1185"/>
      <c r="I2" s="1185"/>
      <c r="J2" s="1185"/>
      <c r="K2" s="1185"/>
      <c r="L2" s="1228"/>
      <c r="M2" s="1528"/>
      <c r="N2" s="1528"/>
      <c r="O2" s="1528"/>
      <c r="P2" s="1327"/>
      <c r="Q2" s="798"/>
      <c r="R2" s="290"/>
      <c r="S2" s="1870" t="e">
        <f>INDEX(PT_DIFFERENTIATION_NUM_NTAR,MATCH(A2,PT_DIFFERENTIATION_NTAR_ID,0))</f>
        <v>#N/A</v>
      </c>
      <c r="T2" s="1443" t="s">
        <v>122</v>
      </c>
      <c r="U2" s="236"/>
      <c r="V2" s="2767"/>
      <c r="W2" s="2767"/>
      <c r="X2" s="2767"/>
      <c r="Y2" s="2767"/>
      <c r="Z2" s="2767"/>
      <c r="AA2" s="2768"/>
      <c r="AB2" s="1864"/>
      <c r="AC2" s="2767" t="e">
        <f>INDEX(PT_DIFFERENTIATION_NTAR,MATCH(A2,PT_DIFFERENTIATION_NTAR_ID,0))</f>
        <v>#N/A</v>
      </c>
      <c r="AD2" s="2767"/>
      <c r="AE2" s="2767"/>
      <c r="AF2" s="2767"/>
      <c r="AG2" s="2767"/>
      <c r="AH2" s="2767"/>
      <c r="AI2" s="2767"/>
      <c r="AJ2" s="2768"/>
      <c r="AK2" s="1176" t="s">
        <v>398</v>
      </c>
      <c r="AM2" s="1542"/>
      <c r="AN2" s="1542" t="str">
        <f t="shared" ref="AN2:AN14" si="0">IF(T2="","",T2)</f>
        <v>Наименование тарифа</v>
      </c>
      <c r="AO2" s="1542"/>
      <c r="AP2" s="1542"/>
      <c r="AQ2" s="1549">
        <v>0</v>
      </c>
    </row>
    <row r="3" spans="1:43" ht="21" hidden="1" customHeight="1">
      <c r="A3" s="1185"/>
      <c r="B3" s="1185"/>
      <c r="C3" s="1185"/>
      <c r="D3" s="1185"/>
      <c r="E3" s="2791"/>
      <c r="F3" s="2790">
        <v>1</v>
      </c>
      <c r="G3" s="1185"/>
      <c r="H3" s="1185"/>
      <c r="I3" s="1185"/>
      <c r="J3" s="1185"/>
      <c r="K3" s="1185"/>
      <c r="L3" s="1228"/>
      <c r="M3" s="1528"/>
      <c r="N3" s="1528"/>
      <c r="O3" s="1528"/>
      <c r="P3" s="1881"/>
      <c r="Q3" s="1329"/>
      <c r="R3" s="288"/>
      <c r="S3" s="1870" t="e">
        <f>INDEX(PT_DIFFERENTIATION_NUM_TER,MATCH(B3,PT_DIFFERENTIATION_TER_ID,0))</f>
        <v>#N/A</v>
      </c>
      <c r="T3" s="1440" t="s">
        <v>399</v>
      </c>
      <c r="U3" s="236"/>
      <c r="V3" s="2767"/>
      <c r="W3" s="2767"/>
      <c r="X3" s="2767"/>
      <c r="Y3" s="2767"/>
      <c r="Z3" s="2767"/>
      <c r="AA3" s="2768"/>
      <c r="AB3" s="1864"/>
      <c r="AC3" s="2767" t="e">
        <f>INDEX(PT_DIFFERENTIATION_TER,MATCH(B3,PT_DIFFERENTIATION_TER_ID,0))</f>
        <v>#N/A</v>
      </c>
      <c r="AD3" s="2767"/>
      <c r="AE3" s="2767"/>
      <c r="AF3" s="2767"/>
      <c r="AG3" s="2767"/>
      <c r="AH3" s="2767"/>
      <c r="AI3" s="2767"/>
      <c r="AJ3" s="2768"/>
      <c r="AK3" s="1176" t="s">
        <v>400</v>
      </c>
      <c r="AM3" s="1542"/>
      <c r="AN3" s="1542" t="str">
        <f t="shared" si="0"/>
        <v>Территория действия тарифа</v>
      </c>
      <c r="AO3" s="1542"/>
      <c r="AP3" s="1542"/>
      <c r="AQ3" s="1549">
        <v>0</v>
      </c>
    </row>
    <row r="4" spans="1:43" ht="22.5" hidden="1" customHeight="1">
      <c r="A4" s="1185"/>
      <c r="B4" s="1185"/>
      <c r="C4" s="1185"/>
      <c r="D4" s="1185"/>
      <c r="E4" s="2791"/>
      <c r="F4" s="2791"/>
      <c r="G4" s="2790">
        <v>1</v>
      </c>
      <c r="H4" s="1185"/>
      <c r="I4" s="1185"/>
      <c r="J4" s="1185"/>
      <c r="K4" s="1185"/>
      <c r="L4" s="1228"/>
      <c r="M4" s="1528"/>
      <c r="N4" s="1528"/>
      <c r="O4" s="1528"/>
      <c r="P4" s="1330"/>
      <c r="Q4" s="1329"/>
      <c r="R4" s="288"/>
      <c r="S4" s="1870" t="e">
        <f>INDEX(PT_DIFFERENTIATION_NUM_CS,MATCH(C4,PT_DIFFERENTIATION_CS_ID,0))</f>
        <v>#N/A</v>
      </c>
      <c r="T4" s="245" t="s">
        <v>401</v>
      </c>
      <c r="U4" s="236"/>
      <c r="V4" s="2767"/>
      <c r="W4" s="2767"/>
      <c r="X4" s="2767"/>
      <c r="Y4" s="2767"/>
      <c r="Z4" s="2767"/>
      <c r="AA4" s="2768"/>
      <c r="AB4" s="1864"/>
      <c r="AC4" s="2767" t="e">
        <f>INDEX(PT_DIFFERENTIATION_CS,MATCH(C4,PT_DIFFERENTIATION_CS_ID,0))</f>
        <v>#N/A</v>
      </c>
      <c r="AD4" s="2767"/>
      <c r="AE4" s="2767"/>
      <c r="AF4" s="2767"/>
      <c r="AG4" s="2767"/>
      <c r="AH4" s="2767"/>
      <c r="AI4" s="2767"/>
      <c r="AJ4" s="2768"/>
      <c r="AK4" s="1176" t="s">
        <v>402</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791"/>
      <c r="F5" s="2791"/>
      <c r="G5" s="2791"/>
      <c r="H5" s="2790">
        <v>1</v>
      </c>
      <c r="I5" s="1185"/>
      <c r="J5" s="1185"/>
      <c r="K5" s="1185"/>
      <c r="L5" s="1228"/>
      <c r="M5" s="1528"/>
      <c r="N5" s="1528"/>
      <c r="O5" s="1528"/>
      <c r="P5" s="1330"/>
      <c r="Q5" s="1329"/>
      <c r="R5" s="288"/>
      <c r="S5" s="1870" t="e">
        <f>INDEX(PT_DIFFERENTIATION_NUM_IST_TE,MATCH(D5,PT_DIFFERENTIATION_IST_TE_ID,0))</f>
        <v>#N/A</v>
      </c>
      <c r="T5" s="246" t="s">
        <v>403</v>
      </c>
      <c r="U5" s="236"/>
      <c r="V5" s="2767"/>
      <c r="W5" s="2767"/>
      <c r="X5" s="2767"/>
      <c r="Y5" s="2767"/>
      <c r="Z5" s="2767"/>
      <c r="AA5" s="2768"/>
      <c r="AB5" s="1864"/>
      <c r="AC5" s="2767" t="e">
        <f>INDEX(PT_DIFFERENTIATION_IST_TE,MATCH(D5,PT_DIFFERENTIATION_IST_TE_ID,0))</f>
        <v>#N/A</v>
      </c>
      <c r="AD5" s="2767"/>
      <c r="AE5" s="2767"/>
      <c r="AF5" s="2767"/>
      <c r="AG5" s="2767"/>
      <c r="AH5" s="2767"/>
      <c r="AI5" s="2767"/>
      <c r="AJ5" s="2768"/>
      <c r="AK5" s="1176" t="s">
        <v>404</v>
      </c>
      <c r="AM5" s="1542"/>
      <c r="AN5" s="1542" t="str">
        <f t="shared" si="0"/>
        <v xml:space="preserve">Источник тепловой энергии  </v>
      </c>
      <c r="AO5" s="1542"/>
      <c r="AP5" s="1542"/>
      <c r="AQ5" s="1549">
        <v>0</v>
      </c>
    </row>
    <row r="6" spans="1:43" s="2520" customFormat="1" ht="0.75" hidden="1" customHeight="1">
      <c r="A6" s="1293"/>
      <c r="B6" s="1293"/>
      <c r="C6" s="1293"/>
      <c r="D6" s="1293"/>
      <c r="E6" s="2791"/>
      <c r="F6" s="2791"/>
      <c r="G6" s="2791"/>
      <c r="H6" s="2791"/>
      <c r="I6" s="2638" t="e">
        <f>S5&amp;".1"</f>
        <v>#N/A</v>
      </c>
      <c r="J6" s="1293"/>
      <c r="K6" s="1293"/>
      <c r="L6" s="1299" t="s">
        <v>405</v>
      </c>
      <c r="M6" s="1164"/>
      <c r="N6" s="1164"/>
      <c r="O6" s="1164"/>
      <c r="P6" s="2777">
        <v>1</v>
      </c>
      <c r="Q6" s="1866"/>
      <c r="R6" s="291"/>
      <c r="S6" s="964"/>
      <c r="T6" s="1301"/>
      <c r="U6" s="1302"/>
      <c r="V6" s="2796"/>
      <c r="W6" s="2796"/>
      <c r="X6" s="2796"/>
      <c r="Y6" s="2796"/>
      <c r="Z6" s="2796"/>
      <c r="AA6" s="2797"/>
      <c r="AB6" s="1872"/>
      <c r="AC6" s="2796"/>
      <c r="AD6" s="2796"/>
      <c r="AE6" s="2796"/>
      <c r="AF6" s="2796"/>
      <c r="AG6" s="2796"/>
      <c r="AH6" s="2796"/>
      <c r="AI6" s="2796"/>
      <c r="AJ6" s="2797"/>
      <c r="AK6" s="1303"/>
      <c r="AM6" s="1542"/>
      <c r="AN6" s="1542" t="str">
        <f t="shared" si="0"/>
        <v/>
      </c>
      <c r="AO6" s="1542"/>
      <c r="AP6" s="1542"/>
      <c r="AQ6" s="1554">
        <v>0</v>
      </c>
    </row>
    <row r="7" spans="1:43" s="2520" customFormat="1" ht="0.75" hidden="1" customHeight="1">
      <c r="A7" s="1293"/>
      <c r="B7" s="1293"/>
      <c r="C7" s="1293"/>
      <c r="D7" s="1293"/>
      <c r="E7" s="2791"/>
      <c r="F7" s="2791"/>
      <c r="G7" s="2791"/>
      <c r="H7" s="2791"/>
      <c r="I7" s="2610"/>
      <c r="J7" s="2638" t="e">
        <f>S5&amp;".1"</f>
        <v>#N/A</v>
      </c>
      <c r="K7" s="1293"/>
      <c r="L7" s="1299"/>
      <c r="M7" s="1164"/>
      <c r="N7" s="1164"/>
      <c r="O7" s="1164"/>
      <c r="P7" s="2777"/>
      <c r="Q7" s="2777">
        <v>1</v>
      </c>
      <c r="R7" s="292"/>
      <c r="S7" s="964"/>
      <c r="T7" s="1317"/>
      <c r="U7" s="1302"/>
      <c r="V7" s="2796"/>
      <c r="W7" s="2796"/>
      <c r="X7" s="2796"/>
      <c r="Y7" s="2796"/>
      <c r="Z7" s="2796"/>
      <c r="AA7" s="2797"/>
      <c r="AB7" s="1872"/>
      <c r="AC7" s="2796"/>
      <c r="AD7" s="2796"/>
      <c r="AE7" s="2796"/>
      <c r="AF7" s="2796"/>
      <c r="AG7" s="2796"/>
      <c r="AH7" s="2796"/>
      <c r="AI7" s="2796"/>
      <c r="AJ7" s="2797"/>
      <c r="AK7" s="1303"/>
      <c r="AM7" s="1542"/>
      <c r="AN7" s="1542" t="str">
        <f t="shared" si="0"/>
        <v/>
      </c>
      <c r="AO7" s="1542"/>
      <c r="AP7" s="1542"/>
      <c r="AQ7" s="1554">
        <v>0</v>
      </c>
    </row>
    <row r="8" spans="1:43" ht="21" hidden="1" customHeight="1">
      <c r="A8" s="1185"/>
      <c r="B8" s="1185"/>
      <c r="C8" s="1185"/>
      <c r="D8" s="1185"/>
      <c r="E8" s="2791"/>
      <c r="F8" s="2791"/>
      <c r="G8" s="2791"/>
      <c r="H8" s="2791"/>
      <c r="I8" s="2610"/>
      <c r="J8" s="2610"/>
      <c r="K8" s="1903" t="e">
        <f>S5&amp;".1"</f>
        <v>#N/A</v>
      </c>
      <c r="L8" s="1228"/>
      <c r="P8" s="2777"/>
      <c r="Q8" s="2777"/>
      <c r="R8" s="1907">
        <v>1</v>
      </c>
      <c r="S8" s="1905" t="e">
        <f>$K8</f>
        <v>#N/A</v>
      </c>
      <c r="T8" s="1906"/>
      <c r="U8" s="236"/>
      <c r="V8" s="686"/>
      <c r="W8" s="1175"/>
      <c r="X8" s="1904"/>
      <c r="Y8" s="1902" t="s">
        <v>66</v>
      </c>
      <c r="Z8" s="1904"/>
      <c r="AA8" s="1902" t="s">
        <v>66</v>
      </c>
      <c r="AB8" s="1908"/>
      <c r="AC8" s="1909" t="s">
        <v>28</v>
      </c>
      <c r="AD8" s="686"/>
      <c r="AE8" s="1175"/>
      <c r="AF8" s="1867"/>
      <c r="AG8" s="1854" t="s">
        <v>66</v>
      </c>
      <c r="AH8" s="1867"/>
      <c r="AI8" s="1854" t="s">
        <v>66</v>
      </c>
      <c r="AJ8" s="1266"/>
      <c r="AK8" s="2773" t="s">
        <v>466</v>
      </c>
      <c r="AL8" s="1554" t="e">
        <f ca="1">STRCHECKDATE(#REF!)</f>
        <v>#NAME?</v>
      </c>
      <c r="AM8" s="1542"/>
      <c r="AN8" s="1542" t="str">
        <f t="shared" si="0"/>
        <v/>
      </c>
      <c r="AO8" s="1542"/>
      <c r="AP8" s="1542"/>
      <c r="AQ8" s="1549">
        <v>0</v>
      </c>
    </row>
    <row r="9" spans="1:43" ht="11.25" hidden="1" customHeight="1">
      <c r="A9" s="1185"/>
      <c r="B9" s="1185"/>
      <c r="C9" s="1185"/>
      <c r="D9" s="1185"/>
      <c r="E9" s="2791"/>
      <c r="F9" s="2791"/>
      <c r="G9" s="2791"/>
      <c r="H9" s="2791"/>
      <c r="I9" s="2610"/>
      <c r="J9" s="2638"/>
      <c r="K9" s="1185"/>
      <c r="L9" s="1228"/>
      <c r="P9" s="2777"/>
      <c r="Q9" s="2777"/>
      <c r="R9" s="291"/>
      <c r="S9" s="1196"/>
      <c r="T9" s="223" t="s">
        <v>470</v>
      </c>
      <c r="U9" s="535"/>
      <c r="V9" s="535"/>
      <c r="W9" s="535"/>
      <c r="X9" s="535"/>
      <c r="Y9" s="535"/>
      <c r="Z9" s="535"/>
      <c r="AA9" s="535"/>
      <c r="AB9" s="535"/>
      <c r="AC9" s="535"/>
      <c r="AD9" s="535"/>
      <c r="AE9" s="535"/>
      <c r="AF9" s="535"/>
      <c r="AG9" s="535"/>
      <c r="AH9" s="535"/>
      <c r="AI9" s="535"/>
      <c r="AJ9" s="260"/>
      <c r="AK9" s="2775"/>
      <c r="AM9" s="1542"/>
      <c r="AN9" s="1542" t="str">
        <f t="shared" si="0"/>
        <v>Добавить строку</v>
      </c>
      <c r="AO9" s="1542"/>
      <c r="AP9" s="1542"/>
      <c r="AQ9" s="1549">
        <v>0</v>
      </c>
    </row>
    <row r="10" spans="1:43" s="2520" customFormat="1" ht="0.75" hidden="1" customHeight="1">
      <c r="A10" s="1293"/>
      <c r="B10" s="1293"/>
      <c r="C10" s="1293"/>
      <c r="D10" s="1293"/>
      <c r="E10" s="2791"/>
      <c r="F10" s="2791"/>
      <c r="G10" s="2791"/>
      <c r="H10" s="2791"/>
      <c r="I10" s="2638"/>
      <c r="J10" s="1293"/>
      <c r="K10" s="1293"/>
      <c r="L10" s="1299"/>
      <c r="M10" s="1164"/>
      <c r="N10" s="1164"/>
      <c r="O10" s="1164"/>
      <c r="P10" s="2777"/>
      <c r="Q10" s="1866"/>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520" customFormat="1" ht="0.75" hidden="1" customHeight="1">
      <c r="A11" s="1293"/>
      <c r="B11" s="1293"/>
      <c r="C11" s="1293"/>
      <c r="D11" s="1293"/>
      <c r="E11" s="2791"/>
      <c r="F11" s="2791"/>
      <c r="G11" s="2791"/>
      <c r="H11" s="2790"/>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520" customFormat="1" ht="0.75" hidden="1" customHeight="1">
      <c r="A12" s="1293"/>
      <c r="B12" s="1293"/>
      <c r="C12" s="1293"/>
      <c r="D12" s="1292"/>
      <c r="E12" s="2791"/>
      <c r="F12" s="2791"/>
      <c r="G12" s="2790"/>
      <c r="H12" s="1292"/>
      <c r="I12" s="1292"/>
      <c r="J12" s="1292"/>
      <c r="K12" s="1292"/>
      <c r="L12" s="1295"/>
      <c r="M12" s="1296"/>
      <c r="N12" s="1296"/>
      <c r="O12" s="286"/>
      <c r="P12" s="1234"/>
      <c r="Q12" s="1235"/>
      <c r="R12" s="1234"/>
      <c r="S12" s="1240"/>
      <c r="T12" s="1243" t="s">
        <v>160</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520" customFormat="1" ht="0.75" hidden="1" customHeight="1">
      <c r="A13" s="1293"/>
      <c r="B13" s="1293"/>
      <c r="C13" s="1292"/>
      <c r="D13" s="1292"/>
      <c r="E13" s="2791"/>
      <c r="F13" s="2790"/>
      <c r="G13" s="1292"/>
      <c r="H13" s="1292"/>
      <c r="I13" s="1292"/>
      <c r="J13" s="1292"/>
      <c r="K13" s="1292"/>
      <c r="L13" s="1295"/>
      <c r="M13" s="1297"/>
      <c r="N13" s="1297"/>
      <c r="O13" s="286"/>
      <c r="P13" s="1234"/>
      <c r="Q13" s="1235"/>
      <c r="R13" s="1234"/>
      <c r="S13" s="1240"/>
      <c r="T13" s="1243" t="s">
        <v>161</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520" customFormat="1" ht="0.75" hidden="1" customHeight="1">
      <c r="A14" s="1293"/>
      <c r="B14" s="1293"/>
      <c r="C14" s="1293"/>
      <c r="D14" s="1293"/>
      <c r="E14" s="2790"/>
      <c r="F14" s="1293"/>
      <c r="G14" s="1293"/>
      <c r="H14" s="1293"/>
      <c r="I14" s="1293"/>
      <c r="J14" s="1293"/>
      <c r="K14" s="1293"/>
      <c r="L14" s="1299"/>
      <c r="M14" s="1297"/>
      <c r="N14" s="1297"/>
      <c r="O14" s="286"/>
      <c r="P14" s="315"/>
      <c r="Q14" s="1262"/>
      <c r="R14" s="315"/>
      <c r="S14" s="1240"/>
      <c r="T14" s="1243" t="s">
        <v>162</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8" t="s">
        <v>66</v>
      </c>
      <c r="AH16" s="1653"/>
      <c r="AI16" s="1878" t="s">
        <v>66</v>
      </c>
      <c r="AQ16" s="1549">
        <v>0</v>
      </c>
    </row>
    <row r="17" spans="1:43" ht="14.25" hidden="1" customHeight="1">
      <c r="AL17" s="1559"/>
      <c r="AM17" s="1559"/>
      <c r="AN17" s="1559"/>
      <c r="AO17" s="1559"/>
      <c r="AP17" s="1559"/>
      <c r="AQ17" s="1549">
        <v>0</v>
      </c>
    </row>
    <row r="18" spans="1:43" ht="14.25" hidden="1" customHeight="1">
      <c r="O18" s="1263" t="s">
        <v>416</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551" customFormat="1" ht="14.25" hidden="1" customHeight="1">
      <c r="A20" s="1883"/>
      <c r="B20" s="1883"/>
      <c r="C20" s="1883"/>
      <c r="D20" s="1883"/>
      <c r="E20" s="1883"/>
      <c r="F20" s="1883"/>
      <c r="G20" s="1883"/>
      <c r="H20" s="1883"/>
      <c r="I20" s="1883"/>
      <c r="J20" s="1883"/>
      <c r="K20" s="1883"/>
      <c r="L20" s="1883"/>
      <c r="M20" s="1884"/>
      <c r="N20" s="1884"/>
      <c r="O20" s="1885" t="s">
        <v>417</v>
      </c>
      <c r="P20" s="1426"/>
      <c r="Q20" s="1428"/>
      <c r="R20" s="1428"/>
      <c r="Y20" s="1425" t="s">
        <v>419</v>
      </c>
      <c r="AA20" s="1425" t="s">
        <v>420</v>
      </c>
      <c r="AC20" s="1425" t="s">
        <v>472</v>
      </c>
      <c r="AG20" s="1425" t="s">
        <v>419</v>
      </c>
      <c r="AI20" s="1425" t="s">
        <v>420</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74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49"/>
      <c r="U24" s="2749"/>
      <c r="V24" s="2749"/>
      <c r="W24" s="2749"/>
      <c r="X24" s="2749"/>
      <c r="Y24" s="2749"/>
      <c r="Z24" s="2749"/>
      <c r="AA24" s="2749"/>
      <c r="AB24" s="2749"/>
      <c r="AC24" s="2749"/>
      <c r="AD24" s="2749"/>
      <c r="AE24" s="2749"/>
      <c r="AF24" s="2749"/>
      <c r="AG24" s="2749"/>
      <c r="AH24" s="2749"/>
      <c r="AI24" s="1161"/>
      <c r="AQ24" s="1549">
        <v>38</v>
      </c>
    </row>
    <row r="25" spans="1:43" ht="14.65" customHeight="1">
      <c r="Q25" s="227"/>
      <c r="R25" s="311"/>
      <c r="S25" s="2696" t="str">
        <f>IF(org=0,"Не определено",org)</f>
        <v>ООО "Ноябрьская ПГЭ"</v>
      </c>
      <c r="T25" s="2696"/>
      <c r="U25" s="2696"/>
      <c r="V25" s="2696"/>
      <c r="W25" s="2696"/>
      <c r="X25" s="2696"/>
      <c r="Y25" s="2696"/>
      <c r="Z25" s="2696"/>
      <c r="AA25" s="2696"/>
      <c r="AB25" s="2696"/>
      <c r="AC25" s="2696"/>
      <c r="AD25" s="2696"/>
      <c r="AE25" s="2696"/>
      <c r="AF25" s="2696"/>
      <c r="AG25" s="2696"/>
      <c r="AH25" s="2696"/>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529" customFormat="1" ht="25.5" hidden="1" customHeight="1">
      <c r="A27" s="1166"/>
      <c r="B27" s="1166"/>
      <c r="C27" s="1166"/>
      <c r="D27" s="1166"/>
      <c r="E27" s="1166"/>
      <c r="F27" s="1166"/>
      <c r="G27" s="1166"/>
      <c r="H27" s="1166"/>
      <c r="I27" s="1166"/>
      <c r="J27" s="1166"/>
      <c r="K27" s="1166"/>
      <c r="L27" s="1298"/>
      <c r="M27" s="1166"/>
      <c r="N27" s="1166"/>
      <c r="O27" s="1166"/>
      <c r="P27" s="1286"/>
      <c r="Q27" s="1286"/>
      <c r="S27" s="2772" t="s">
        <v>42</v>
      </c>
      <c r="T27" s="2772"/>
      <c r="U27" s="1290"/>
      <c r="V27" s="2754" t="str">
        <f>IF(TITLE_NAME_OR_PR_CHANGE="",IF(TITLE_NAME_OR_PR="","",TITLE_NAME_OR_PR),TITLE_NAME_OR_PR_CHANGE)</f>
        <v/>
      </c>
      <c r="W27" s="2754"/>
      <c r="X27" s="2754"/>
      <c r="Y27" s="2754"/>
      <c r="Z27" s="2754"/>
      <c r="AA27" s="1553"/>
      <c r="AB27" s="1553"/>
      <c r="AC27" s="2754"/>
      <c r="AD27" s="2754"/>
      <c r="AE27" s="2754"/>
      <c r="AF27" s="2754"/>
      <c r="AG27" s="2754"/>
      <c r="AH27" s="2754"/>
      <c r="AI27" s="1553"/>
      <c r="AJ27" s="1553"/>
      <c r="AK27" s="216"/>
      <c r="AL27" s="303"/>
      <c r="AM27" s="303"/>
      <c r="AN27" s="303"/>
      <c r="AO27" s="303"/>
      <c r="AP27" s="303"/>
      <c r="AQ27" s="353">
        <v>0</v>
      </c>
    </row>
    <row r="28" spans="1:43" s="2529" customFormat="1" ht="18.75" hidden="1" customHeight="1">
      <c r="A28" s="1166"/>
      <c r="B28" s="1166"/>
      <c r="C28" s="1166"/>
      <c r="D28" s="1166"/>
      <c r="E28" s="1166"/>
      <c r="F28" s="1166"/>
      <c r="G28" s="1166"/>
      <c r="H28" s="1166"/>
      <c r="I28" s="1166"/>
      <c r="J28" s="1166"/>
      <c r="K28" s="1166"/>
      <c r="L28" s="1298"/>
      <c r="M28" s="1166"/>
      <c r="N28" s="1166"/>
      <c r="O28" s="1166"/>
      <c r="P28" s="1286"/>
      <c r="Q28" s="1286"/>
      <c r="S28" s="2772" t="s">
        <v>422</v>
      </c>
      <c r="T28" s="2772"/>
      <c r="U28" s="1290"/>
      <c r="V28" s="2755">
        <f>IF(TITLE_DATE_PR_CHANGE="",IF(TITLE_DATE_PR="","",TITLE_DATE_PR),TITLE_DATE_PR_CHANGE)</f>
        <v>45583</v>
      </c>
      <c r="W28" s="2755"/>
      <c r="X28" s="2755"/>
      <c r="Y28" s="2755"/>
      <c r="Z28" s="2755"/>
      <c r="AA28" s="1553"/>
      <c r="AB28" s="1553"/>
      <c r="AC28" s="2755"/>
      <c r="AD28" s="2755"/>
      <c r="AE28" s="2755"/>
      <c r="AF28" s="2755"/>
      <c r="AG28" s="2755"/>
      <c r="AH28" s="2755"/>
      <c r="AI28" s="1553"/>
      <c r="AJ28" s="1553"/>
      <c r="AK28" s="216"/>
      <c r="AL28" s="303"/>
      <c r="AM28" s="303"/>
      <c r="AN28" s="303"/>
      <c r="AO28" s="303"/>
      <c r="AP28" s="303"/>
      <c r="AQ28" s="353">
        <v>0</v>
      </c>
    </row>
    <row r="29" spans="1:43" s="2529" customFormat="1" ht="18.75" hidden="1" customHeight="1">
      <c r="A29" s="1166"/>
      <c r="B29" s="1166"/>
      <c r="C29" s="1166"/>
      <c r="D29" s="1166"/>
      <c r="E29" s="1166"/>
      <c r="F29" s="1166"/>
      <c r="G29" s="1166"/>
      <c r="H29" s="1166"/>
      <c r="I29" s="1166"/>
      <c r="J29" s="1166"/>
      <c r="K29" s="1166"/>
      <c r="L29" s="1298"/>
      <c r="M29" s="1166"/>
      <c r="N29" s="1166"/>
      <c r="O29" s="1166"/>
      <c r="P29" s="1286"/>
      <c r="Q29" s="1286"/>
      <c r="S29" s="2772" t="s">
        <v>423</v>
      </c>
      <c r="T29" s="2772"/>
      <c r="U29" s="1290"/>
      <c r="V29" s="2754" t="str">
        <f>IF(TITLE_NUMBER_PR_CHANGE="",IF(TITLE_NUMBER_PR="","",TITLE_NUMBER_PR),TITLE_NUMBER_PR_CHANGE)</f>
        <v>18-3341</v>
      </c>
      <c r="W29" s="2754"/>
      <c r="X29" s="2754"/>
      <c r="Y29" s="2754"/>
      <c r="Z29" s="2754"/>
      <c r="AA29" s="1553"/>
      <c r="AB29" s="1553"/>
      <c r="AC29" s="2754"/>
      <c r="AD29" s="2754"/>
      <c r="AE29" s="2754"/>
      <c r="AF29" s="2754"/>
      <c r="AG29" s="2754"/>
      <c r="AH29" s="2754"/>
      <c r="AI29" s="1553"/>
      <c r="AJ29" s="1553"/>
      <c r="AK29" s="216"/>
      <c r="AL29" s="303"/>
      <c r="AM29" s="303"/>
      <c r="AN29" s="303"/>
      <c r="AO29" s="303"/>
      <c r="AP29" s="303"/>
      <c r="AQ29" s="353">
        <v>0</v>
      </c>
    </row>
    <row r="30" spans="1:43" s="2529" customFormat="1" ht="18.75" hidden="1" customHeight="1">
      <c r="A30" s="1166"/>
      <c r="B30" s="1166"/>
      <c r="C30" s="1166"/>
      <c r="D30" s="1166"/>
      <c r="E30" s="1166"/>
      <c r="F30" s="1166"/>
      <c r="G30" s="1166"/>
      <c r="H30" s="1166"/>
      <c r="I30" s="1166"/>
      <c r="J30" s="1166"/>
      <c r="K30" s="1166"/>
      <c r="L30" s="1298"/>
      <c r="M30" s="1166"/>
      <c r="N30" s="1166"/>
      <c r="O30" s="1166"/>
      <c r="P30" s="1286"/>
      <c r="Q30" s="1286"/>
      <c r="S30" s="2772" t="s">
        <v>43</v>
      </c>
      <c r="T30" s="2772"/>
      <c r="U30" s="1290"/>
      <c r="V30" s="2754" t="str">
        <f>IF(TITLE_IST_PUB_CHANGE="",IF(TITLE_IST_PUB="","",TITLE_IST_PUB),TITLE_IST_PUB_CHANGE)</f>
        <v/>
      </c>
      <c r="W30" s="2754"/>
      <c r="X30" s="2754"/>
      <c r="Y30" s="2754"/>
      <c r="Z30" s="2754"/>
      <c r="AA30" s="1553"/>
      <c r="AB30" s="1553"/>
      <c r="AC30" s="2754"/>
      <c r="AD30" s="2754"/>
      <c r="AE30" s="2754"/>
      <c r="AF30" s="2754"/>
      <c r="AG30" s="2754"/>
      <c r="AH30" s="2754"/>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529" customFormat="1" ht="18.75" hidden="1" customHeight="1">
      <c r="A32" s="1166"/>
      <c r="B32" s="1166"/>
      <c r="C32" s="1166"/>
      <c r="D32" s="1166"/>
      <c r="E32" s="1166"/>
      <c r="F32" s="1166"/>
      <c r="G32" s="1166"/>
      <c r="H32" s="1166"/>
      <c r="I32" s="1166"/>
      <c r="J32" s="1166"/>
      <c r="K32" s="1166"/>
      <c r="L32" s="1298"/>
      <c r="M32" s="1166"/>
      <c r="N32" s="1166"/>
      <c r="O32" s="1166"/>
      <c r="P32" s="1286"/>
      <c r="Q32" s="1286"/>
      <c r="S32" s="2772" t="s">
        <v>422</v>
      </c>
      <c r="T32" s="2772"/>
      <c r="U32" s="1290"/>
      <c r="V32" s="2755">
        <f>IF(TITLE_DATE_PR_CHANGE="",IF(TITLE_DATE_PR="","",TITLE_DATE_PR),TITLE_DATE_PR_CHANGE)</f>
        <v>45583</v>
      </c>
      <c r="W32" s="2755"/>
      <c r="X32" s="2755"/>
      <c r="Y32" s="2755"/>
      <c r="Z32" s="2755"/>
      <c r="AA32" s="1553"/>
      <c r="AB32" s="1553"/>
      <c r="AC32" s="2755"/>
      <c r="AD32" s="2755"/>
      <c r="AE32" s="2755"/>
      <c r="AF32" s="2755"/>
      <c r="AG32" s="2755"/>
      <c r="AH32" s="2755"/>
      <c r="AI32" s="1553"/>
      <c r="AJ32" s="1553"/>
      <c r="AK32" s="216"/>
      <c r="AL32" s="303"/>
      <c r="AM32" s="303"/>
      <c r="AN32" s="303"/>
      <c r="AO32" s="303"/>
      <c r="AP32" s="303"/>
      <c r="AQ32" s="353">
        <v>0</v>
      </c>
    </row>
    <row r="33" spans="1:43" s="2529" customFormat="1" ht="18" hidden="1" customHeight="1">
      <c r="A33" s="1166"/>
      <c r="B33" s="1166"/>
      <c r="C33" s="1166"/>
      <c r="D33" s="1166"/>
      <c r="E33" s="1166"/>
      <c r="F33" s="1166"/>
      <c r="G33" s="1166"/>
      <c r="H33" s="1166"/>
      <c r="I33" s="1166"/>
      <c r="J33" s="1166"/>
      <c r="K33" s="1166"/>
      <c r="L33" s="1298"/>
      <c r="M33" s="1166"/>
      <c r="N33" s="1166"/>
      <c r="O33" s="1166"/>
      <c r="P33" s="1286"/>
      <c r="Q33" s="1286"/>
      <c r="S33" s="2772" t="s">
        <v>423</v>
      </c>
      <c r="T33" s="2772"/>
      <c r="U33" s="1290"/>
      <c r="V33" s="2754" t="str">
        <f>IF(TITLE_NUMBER_PR_CHANGE="",IF(TITLE_NUMBER_PR="","",TITLE_NUMBER_PR),TITLE_NUMBER_PR_CHANGE)</f>
        <v>18-3341</v>
      </c>
      <c r="W33" s="2754"/>
      <c r="X33" s="2754"/>
      <c r="Y33" s="2754"/>
      <c r="Z33" s="2754"/>
      <c r="AA33" s="1553"/>
      <c r="AB33" s="1553"/>
      <c r="AC33" s="2754"/>
      <c r="AD33" s="2754"/>
      <c r="AE33" s="2754"/>
      <c r="AF33" s="2754"/>
      <c r="AG33" s="2754"/>
      <c r="AH33" s="2754"/>
      <c r="AI33" s="1553"/>
      <c r="AJ33" s="1553"/>
      <c r="AK33" s="216"/>
      <c r="AL33" s="303"/>
      <c r="AM33" s="303"/>
      <c r="AN33" s="303"/>
      <c r="AO33" s="303"/>
      <c r="AP33" s="303"/>
      <c r="AQ33" s="353">
        <v>0</v>
      </c>
    </row>
    <row r="34" spans="1:43" s="2529"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2"/>
      <c r="V34" s="1553"/>
      <c r="W34" s="1553"/>
      <c r="X34" s="1553"/>
      <c r="Y34" s="1553"/>
      <c r="Z34" s="1553"/>
      <c r="AA34" s="1560" t="s">
        <v>426</v>
      </c>
      <c r="AB34" s="1560"/>
      <c r="AC34" s="1553"/>
      <c r="AD34" s="1553"/>
      <c r="AE34" s="1553"/>
      <c r="AF34" s="1553"/>
      <c r="AG34" s="1553"/>
      <c r="AH34" s="1553"/>
      <c r="AI34" s="1560" t="s">
        <v>426</v>
      </c>
      <c r="AL34" s="303"/>
      <c r="AM34" s="303"/>
      <c r="AN34" s="303"/>
      <c r="AO34" s="303"/>
      <c r="AP34" s="303"/>
      <c r="AQ34" s="353">
        <v>1</v>
      </c>
    </row>
    <row r="35" spans="1:43" ht="14.65" customHeight="1">
      <c r="Q35" s="227"/>
      <c r="R35" s="311"/>
      <c r="S35" s="1193"/>
      <c r="T35" s="392"/>
      <c r="U35" s="1162"/>
      <c r="V35" s="2756"/>
      <c r="W35" s="2756"/>
      <c r="X35" s="2756"/>
      <c r="Y35" s="2756"/>
      <c r="Z35" s="2756"/>
      <c r="AA35" s="2756"/>
      <c r="AB35" s="1869"/>
      <c r="AC35" s="2756"/>
      <c r="AD35" s="2756"/>
      <c r="AE35" s="2756"/>
      <c r="AF35" s="2756"/>
      <c r="AG35" s="2756"/>
      <c r="AH35" s="2756"/>
      <c r="AI35" s="2756"/>
      <c r="AQ35" s="1549">
        <v>14</v>
      </c>
    </row>
    <row r="36" spans="1:43" ht="14.65" customHeight="1">
      <c r="Q36" s="227"/>
      <c r="R36" s="311"/>
      <c r="S36" s="2638" t="s">
        <v>302</v>
      </c>
      <c r="T36" s="2638"/>
      <c r="U36" s="2638"/>
      <c r="V36" s="2638"/>
      <c r="W36" s="2638"/>
      <c r="X36" s="2638"/>
      <c r="Y36" s="2638"/>
      <c r="Z36" s="2638"/>
      <c r="AA36" s="2695"/>
      <c r="AB36" s="2695"/>
      <c r="AC36" s="2695"/>
      <c r="AD36" s="2638"/>
      <c r="AE36" s="2638"/>
      <c r="AF36" s="2638"/>
      <c r="AG36" s="2638"/>
      <c r="AH36" s="2638"/>
      <c r="AI36" s="2638"/>
      <c r="AJ36" s="2638"/>
      <c r="AK36" s="2638" t="s">
        <v>303</v>
      </c>
      <c r="AQ36" s="1549">
        <v>14</v>
      </c>
    </row>
    <row r="37" spans="1:43" ht="14.65" customHeight="1">
      <c r="Q37" s="227"/>
      <c r="R37" s="311"/>
      <c r="S37" s="2782" t="s">
        <v>87</v>
      </c>
      <c r="T37" s="2724" t="s">
        <v>501</v>
      </c>
      <c r="U37" s="273"/>
      <c r="V37" s="2758"/>
      <c r="W37" s="2758"/>
      <c r="X37" s="2758"/>
      <c r="Y37" s="2758"/>
      <c r="Z37" s="2758"/>
      <c r="AA37" s="2724" t="s">
        <v>430</v>
      </c>
      <c r="AB37" s="2723" t="s">
        <v>502</v>
      </c>
      <c r="AC37" s="2723" t="s">
        <v>476</v>
      </c>
      <c r="AD37" s="2792" t="s">
        <v>429</v>
      </c>
      <c r="AE37" s="2792"/>
      <c r="AF37" s="2758"/>
      <c r="AG37" s="2758"/>
      <c r="AH37" s="2759"/>
      <c r="AI37" s="2760" t="s">
        <v>430</v>
      </c>
      <c r="AJ37" s="2783" t="s">
        <v>432</v>
      </c>
      <c r="AK37" s="2638"/>
      <c r="AQ37" s="1549">
        <v>14</v>
      </c>
    </row>
    <row r="38" spans="1:43" ht="35.65" customHeight="1">
      <c r="Q38" s="227"/>
      <c r="R38" s="311"/>
      <c r="S38" s="2782"/>
      <c r="T38" s="2724"/>
      <c r="U38" s="953"/>
      <c r="V38" s="2609" t="s">
        <v>479</v>
      </c>
      <c r="W38" s="2638"/>
      <c r="X38" s="2710" t="s">
        <v>436</v>
      </c>
      <c r="Y38" s="2806"/>
      <c r="Z38" s="2806"/>
      <c r="AA38" s="2724"/>
      <c r="AB38" s="2723"/>
      <c r="AC38" s="2723"/>
      <c r="AD38" s="2609" t="s">
        <v>479</v>
      </c>
      <c r="AE38" s="2638"/>
      <c r="AF38" s="2806" t="s">
        <v>436</v>
      </c>
      <c r="AG38" s="2806"/>
      <c r="AH38" s="2711"/>
      <c r="AI38" s="2761"/>
      <c r="AJ38" s="2784"/>
      <c r="AK38" s="2638"/>
      <c r="AQ38" s="1549">
        <v>34</v>
      </c>
    </row>
    <row r="39" spans="1:43" ht="14.65" customHeight="1">
      <c r="Q39" s="227"/>
      <c r="R39" s="311"/>
      <c r="S39" s="2782"/>
      <c r="T39" s="2724"/>
      <c r="U39" s="953"/>
      <c r="V39" s="2823" t="str">
        <f>IF($AD$39&lt;&gt;"",$AD$39,"")</f>
        <v/>
      </c>
      <c r="W39" s="2823"/>
      <c r="X39" s="2715"/>
      <c r="Y39" s="2807"/>
      <c r="Z39" s="2807"/>
      <c r="AA39" s="2724"/>
      <c r="AB39" s="2723"/>
      <c r="AC39" s="2723"/>
      <c r="AD39" s="2839"/>
      <c r="AE39" s="2822"/>
      <c r="AF39" s="2807"/>
      <c r="AG39" s="2807"/>
      <c r="AH39" s="2716"/>
      <c r="AI39" s="2761"/>
      <c r="AJ39" s="2784"/>
      <c r="AK39" s="2638"/>
      <c r="AQ39" s="1549">
        <v>14</v>
      </c>
    </row>
    <row r="40" spans="1:43" ht="14.65" customHeight="1">
      <c r="A40" s="1184"/>
      <c r="B40" s="1184" t="s">
        <v>134</v>
      </c>
      <c r="C40" s="1184" t="s">
        <v>135</v>
      </c>
      <c r="D40" s="1184" t="s">
        <v>136</v>
      </c>
      <c r="E40" s="1228" t="s">
        <v>437</v>
      </c>
      <c r="F40" s="1228" t="s">
        <v>438</v>
      </c>
      <c r="G40" s="1228" t="s">
        <v>439</v>
      </c>
      <c r="H40" s="1228" t="s">
        <v>440</v>
      </c>
      <c r="I40" s="1228" t="s">
        <v>441</v>
      </c>
      <c r="J40" s="1228" t="s">
        <v>442</v>
      </c>
      <c r="K40" s="1228" t="s">
        <v>443</v>
      </c>
      <c r="L40" s="1228" t="s">
        <v>417</v>
      </c>
      <c r="Q40" s="227"/>
      <c r="R40" s="311"/>
      <c r="S40" s="2782"/>
      <c r="T40" s="2724"/>
      <c r="U40" s="238"/>
      <c r="V40" s="1862" t="s">
        <v>480</v>
      </c>
      <c r="W40" s="1862" t="s">
        <v>481</v>
      </c>
      <c r="X40" s="1850" t="s">
        <v>446</v>
      </c>
      <c r="Y40" s="2733" t="s">
        <v>447</v>
      </c>
      <c r="Z40" s="2734"/>
      <c r="AA40" s="2724"/>
      <c r="AB40" s="2723"/>
      <c r="AC40" s="2723"/>
      <c r="AD40" s="1880" t="s">
        <v>480</v>
      </c>
      <c r="AE40" s="1871" t="s">
        <v>481</v>
      </c>
      <c r="AF40" s="1850" t="s">
        <v>446</v>
      </c>
      <c r="AG40" s="2733" t="s">
        <v>447</v>
      </c>
      <c r="AH40" s="2735"/>
      <c r="AI40" s="2762"/>
      <c r="AJ40" s="2785"/>
      <c r="AK40" s="2638"/>
      <c r="AQ40" s="1549">
        <v>14</v>
      </c>
    </row>
    <row r="41" spans="1:43" s="2544" customFormat="1" ht="11.25" hidden="1" customHeight="1">
      <c r="A41" s="1184"/>
      <c r="B41" s="1184"/>
      <c r="C41" s="1184"/>
      <c r="D41" s="1184"/>
      <c r="E41" s="1184"/>
      <c r="F41" s="1184"/>
      <c r="G41" s="1184"/>
      <c r="H41" s="1184"/>
      <c r="I41" s="1184"/>
      <c r="J41" s="1184"/>
      <c r="K41" s="1184"/>
      <c r="L41" s="1228"/>
      <c r="M41" s="1877"/>
      <c r="N41" s="1877"/>
      <c r="O41" s="1877"/>
      <c r="P41" s="445"/>
      <c r="Q41" s="1172"/>
      <c r="R41" s="1172">
        <v>1</v>
      </c>
      <c r="S41" s="1195" t="s">
        <v>108</v>
      </c>
      <c r="T41" s="1173" t="s">
        <v>109</v>
      </c>
      <c r="U41" s="1163" t="str">
        <f ca="1">OFFSET(U41,0,-1)</f>
        <v>2</v>
      </c>
      <c r="V41" s="1868">
        <f ca="1">OFFSET(V41,0,-1)+1</f>
        <v>3</v>
      </c>
      <c r="W41" s="1868">
        <f ca="1">OFFSET(W41,0,-1)+1</f>
        <v>4</v>
      </c>
      <c r="X41" s="1868">
        <f ca="1">OFFSET(X41,0,-1)+1</f>
        <v>5</v>
      </c>
      <c r="Y41" s="2765">
        <f ca="1">OFFSET(Y41,0,-1)+1</f>
        <v>6</v>
      </c>
      <c r="Z41" s="2765"/>
      <c r="AA41" s="1259">
        <f ca="1">OFFSET(AA41,0,-2)+1</f>
        <v>7</v>
      </c>
      <c r="AB41" s="1259"/>
      <c r="AC41" s="1259"/>
      <c r="AD41" s="1868">
        <f ca="1">OFFSET(AD41,0,-1)+1</f>
        <v>1</v>
      </c>
      <c r="AE41" s="1868">
        <f ca="1">OFFSET(AE41,0,-1)+1</f>
        <v>2</v>
      </c>
      <c r="AF41" s="1868">
        <f ca="1">OFFSET(AF41,0,-1)+1</f>
        <v>3</v>
      </c>
      <c r="AG41" s="2765">
        <f ca="1">OFFSET(AG41,0,-1)+1</f>
        <v>4</v>
      </c>
      <c r="AH41" s="2765"/>
      <c r="AI41" s="1868">
        <f ca="1">OFFSET(AI41,0,-2)+1</f>
        <v>5</v>
      </c>
      <c r="AJ41" s="1163">
        <f ca="1">OFFSET(AJ41,0,-1)</f>
        <v>5</v>
      </c>
      <c r="AK41" s="1868">
        <f ca="1">OFFSET(AK41,0,-1)+1</f>
        <v>6</v>
      </c>
      <c r="AL41" s="1554"/>
      <c r="AM41" s="1554"/>
      <c r="AN41" s="1554"/>
      <c r="AO41" s="1554"/>
      <c r="AP41" s="1554"/>
      <c r="AQ41" s="1559">
        <v>0</v>
      </c>
    </row>
    <row r="42" spans="1:43" ht="107.25" customHeight="1">
      <c r="A42" s="1185" t="s">
        <v>208</v>
      </c>
      <c r="B42" s="1185"/>
      <c r="C42" s="1185"/>
      <c r="D42" s="1185"/>
      <c r="E42" s="2790">
        <v>1</v>
      </c>
      <c r="F42" s="1185"/>
      <c r="G42" s="1185"/>
      <c r="H42" s="1185"/>
      <c r="I42" s="1185"/>
      <c r="J42" s="1185"/>
      <c r="K42" s="1185"/>
      <c r="L42" s="1228"/>
      <c r="M42" s="1528"/>
      <c r="N42" s="1528"/>
      <c r="O42" s="1528"/>
      <c r="P42" s="1327"/>
      <c r="Q42" s="798"/>
      <c r="R42" s="290"/>
      <c r="S42" s="1870">
        <f>INDEX(PT_DIFFERENTIATION_NUM_NTAR,MATCH(A42,PT_DIFFERENTIATION_NTAR_ID,0))</f>
        <v>0</v>
      </c>
      <c r="T42" s="1443" t="s">
        <v>122</v>
      </c>
      <c r="U42" s="236"/>
      <c r="V42" s="2767"/>
      <c r="W42" s="2767"/>
      <c r="X42" s="2767"/>
      <c r="Y42" s="2767"/>
      <c r="Z42" s="2767"/>
      <c r="AA42" s="2768"/>
      <c r="AB42" s="1864"/>
      <c r="AC42" s="2767" t="str">
        <f>INDEX(PT_DIFFERENTIATION_NTAR,MATCH(A42,PT_DIFFERENTIATION_NTAR_ID,0))</f>
        <v/>
      </c>
      <c r="AD42" s="2767"/>
      <c r="AE42" s="2767"/>
      <c r="AF42" s="2767"/>
      <c r="AG42" s="2767"/>
      <c r="AH42" s="2767"/>
      <c r="AI42" s="2767"/>
      <c r="AJ42" s="2768"/>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208</v>
      </c>
      <c r="B43" s="1185" t="s">
        <v>209</v>
      </c>
      <c r="C43" s="1185"/>
      <c r="D43" s="1185"/>
      <c r="E43" s="2791"/>
      <c r="F43" s="2790">
        <v>1</v>
      </c>
      <c r="G43" s="1185"/>
      <c r="H43" s="1185"/>
      <c r="I43" s="1185"/>
      <c r="J43" s="1185"/>
      <c r="K43" s="1185"/>
      <c r="L43" s="1228"/>
      <c r="M43" s="1528"/>
      <c r="N43" s="1528"/>
      <c r="O43" s="1528"/>
      <c r="P43" s="1881"/>
      <c r="Q43" s="1329"/>
      <c r="R43" s="288"/>
      <c r="S43" s="1870" t="str">
        <f>INDEX(PT_DIFFERENTIATION_NUM_TER,MATCH(B43,PT_DIFFERENTIATION_TER_ID,0))</f>
        <v>.</v>
      </c>
      <c r="T43" s="1440" t="s">
        <v>399</v>
      </c>
      <c r="U43" s="236"/>
      <c r="V43" s="2767"/>
      <c r="W43" s="2767"/>
      <c r="X43" s="2767"/>
      <c r="Y43" s="2767"/>
      <c r="Z43" s="2767"/>
      <c r="AA43" s="2768"/>
      <c r="AB43" s="1864"/>
      <c r="AC43" s="2767" t="str">
        <f>INDEX(PT_DIFFERENTIATION_TER,MATCH(B43,PT_DIFFERENTIATION_TER_ID,0))</f>
        <v/>
      </c>
      <c r="AD43" s="2767"/>
      <c r="AE43" s="2767"/>
      <c r="AF43" s="2767"/>
      <c r="AG43" s="2767"/>
      <c r="AH43" s="2767"/>
      <c r="AI43" s="2767"/>
      <c r="AJ43" s="2768"/>
      <c r="AK43" s="1176" t="s">
        <v>400</v>
      </c>
      <c r="AM43" s="1542"/>
      <c r="AN43" s="1542" t="str">
        <f t="shared" si="1"/>
        <v>Территория действия тарифа</v>
      </c>
      <c r="AO43" s="1542"/>
      <c r="AP43" s="1542"/>
      <c r="AQ43" s="1549">
        <v>21</v>
      </c>
    </row>
    <row r="44" spans="1:43" ht="24" customHeight="1">
      <c r="A44" s="1185" t="s">
        <v>208</v>
      </c>
      <c r="B44" s="1185" t="s">
        <v>209</v>
      </c>
      <c r="C44" s="1185" t="s">
        <v>210</v>
      </c>
      <c r="D44" s="1185"/>
      <c r="E44" s="2791"/>
      <c r="F44" s="2791"/>
      <c r="G44" s="2790">
        <v>1</v>
      </c>
      <c r="H44" s="1185"/>
      <c r="I44" s="1185"/>
      <c r="J44" s="1185"/>
      <c r="K44" s="1185"/>
      <c r="L44" s="1228"/>
      <c r="M44" s="1528"/>
      <c r="N44" s="1528"/>
      <c r="O44" s="1528"/>
      <c r="P44" s="1330"/>
      <c r="Q44" s="1329"/>
      <c r="R44" s="288"/>
      <c r="S44" s="1870" t="str">
        <f>INDEX(PT_DIFFERENTIATION_NUM_CS,MATCH(C44,PT_DIFFERENTIATION_CS_ID,0))</f>
        <v>..</v>
      </c>
      <c r="T44" s="245" t="s">
        <v>401</v>
      </c>
      <c r="U44" s="236"/>
      <c r="V44" s="2767"/>
      <c r="W44" s="2767"/>
      <c r="X44" s="2767"/>
      <c r="Y44" s="2767"/>
      <c r="Z44" s="2767"/>
      <c r="AA44" s="2768"/>
      <c r="AB44" s="1864"/>
      <c r="AC44" s="2767" t="str">
        <f>INDEX(PT_DIFFERENTIATION_CS,MATCH(C44,PT_DIFFERENTIATION_CS_ID,0))</f>
        <v/>
      </c>
      <c r="AD44" s="2767"/>
      <c r="AE44" s="2767"/>
      <c r="AF44" s="2767"/>
      <c r="AG44" s="2767"/>
      <c r="AH44" s="2767"/>
      <c r="AI44" s="2767"/>
      <c r="AJ44" s="2768"/>
      <c r="AK44" s="1176" t="s">
        <v>402</v>
      </c>
      <c r="AM44" s="1542"/>
      <c r="AN44" s="1542" t="str">
        <f t="shared" si="1"/>
        <v xml:space="preserve">Наименование системы теплоснабжения </v>
      </c>
      <c r="AO44" s="1542"/>
      <c r="AP44" s="1542"/>
      <c r="AQ44" s="1549">
        <v>23</v>
      </c>
    </row>
    <row r="45" spans="1:43" ht="21.95" customHeight="1">
      <c r="A45" s="1185" t="s">
        <v>208</v>
      </c>
      <c r="B45" s="1185" t="s">
        <v>209</v>
      </c>
      <c r="C45" s="1185" t="s">
        <v>210</v>
      </c>
      <c r="D45" s="1185" t="s">
        <v>211</v>
      </c>
      <c r="E45" s="2791"/>
      <c r="F45" s="2791"/>
      <c r="G45" s="2791"/>
      <c r="H45" s="2790">
        <v>1</v>
      </c>
      <c r="I45" s="1185"/>
      <c r="J45" s="1185"/>
      <c r="K45" s="1185"/>
      <c r="L45" s="1228"/>
      <c r="M45" s="1528"/>
      <c r="N45" s="1528"/>
      <c r="O45" s="1528"/>
      <c r="P45" s="1330"/>
      <c r="Q45" s="1329"/>
      <c r="R45" s="288"/>
      <c r="S45" s="1870" t="str">
        <f>INDEX(PT_DIFFERENTIATION_NUM_IST_TE,MATCH(D45,PT_DIFFERENTIATION_IST_TE_ID,0))</f>
        <v>...</v>
      </c>
      <c r="T45" s="246" t="s">
        <v>403</v>
      </c>
      <c r="U45" s="236"/>
      <c r="V45" s="2767"/>
      <c r="W45" s="2767"/>
      <c r="X45" s="2767"/>
      <c r="Y45" s="2767"/>
      <c r="Z45" s="2767"/>
      <c r="AA45" s="2768"/>
      <c r="AB45" s="1864"/>
      <c r="AC45" s="2767" t="str">
        <f>INDEX(PT_DIFFERENTIATION_IST_TE,MATCH(D45,PT_DIFFERENTIATION_IST_TE_ID,0))</f>
        <v/>
      </c>
      <c r="AD45" s="2767"/>
      <c r="AE45" s="2767"/>
      <c r="AF45" s="2767"/>
      <c r="AG45" s="2767"/>
      <c r="AH45" s="2767"/>
      <c r="AI45" s="2767"/>
      <c r="AJ45" s="2768"/>
      <c r="AK45" s="1176" t="s">
        <v>404</v>
      </c>
      <c r="AM45" s="1542"/>
      <c r="AN45" s="1542" t="str">
        <f t="shared" si="1"/>
        <v xml:space="preserve">Источник тепловой энергии  </v>
      </c>
      <c r="AO45" s="1542"/>
      <c r="AP45" s="1542"/>
      <c r="AQ45" s="1549">
        <v>21</v>
      </c>
    </row>
    <row r="46" spans="1:43" s="2520" customFormat="1" ht="0" hidden="1" customHeight="1">
      <c r="A46" s="1293" t="s">
        <v>208</v>
      </c>
      <c r="B46" s="1293" t="s">
        <v>209</v>
      </c>
      <c r="C46" s="1293" t="s">
        <v>210</v>
      </c>
      <c r="D46" s="1293" t="s">
        <v>211</v>
      </c>
      <c r="E46" s="2791"/>
      <c r="F46" s="2791"/>
      <c r="G46" s="2791"/>
      <c r="H46" s="2791"/>
      <c r="I46" s="2638" t="str">
        <f>S45&amp;".1"</f>
        <v>....1</v>
      </c>
      <c r="J46" s="1293"/>
      <c r="K46" s="1293"/>
      <c r="L46" s="1299" t="s">
        <v>405</v>
      </c>
      <c r="M46" s="1164"/>
      <c r="N46" s="1164"/>
      <c r="O46" s="1164"/>
      <c r="P46" s="2777">
        <v>1</v>
      </c>
      <c r="Q46" s="1866"/>
      <c r="R46" s="291"/>
      <c r="S46" s="964"/>
      <c r="T46" s="1301"/>
      <c r="U46" s="1302"/>
      <c r="V46" s="2796"/>
      <c r="W46" s="2796"/>
      <c r="X46" s="2796"/>
      <c r="Y46" s="2796"/>
      <c r="Z46" s="2796"/>
      <c r="AA46" s="2797"/>
      <c r="AB46" s="1872"/>
      <c r="AC46" s="2796"/>
      <c r="AD46" s="2796"/>
      <c r="AE46" s="2796"/>
      <c r="AF46" s="2796"/>
      <c r="AG46" s="2796"/>
      <c r="AH46" s="2796"/>
      <c r="AI46" s="2796"/>
      <c r="AJ46" s="2797"/>
      <c r="AK46" s="1303"/>
      <c r="AM46" s="1542"/>
      <c r="AN46" s="1542" t="str">
        <f t="shared" si="1"/>
        <v/>
      </c>
      <c r="AO46" s="1542"/>
      <c r="AP46" s="1542"/>
      <c r="AQ46" s="1554">
        <v>0</v>
      </c>
    </row>
    <row r="47" spans="1:43" s="2520" customFormat="1" ht="0" hidden="1" customHeight="1">
      <c r="A47" s="1293" t="s">
        <v>208</v>
      </c>
      <c r="B47" s="1293" t="s">
        <v>209</v>
      </c>
      <c r="C47" s="1293" t="s">
        <v>210</v>
      </c>
      <c r="D47" s="1293" t="s">
        <v>211</v>
      </c>
      <c r="E47" s="2791"/>
      <c r="F47" s="2791"/>
      <c r="G47" s="2791"/>
      <c r="H47" s="2791"/>
      <c r="I47" s="2610"/>
      <c r="J47" s="2638" t="str">
        <f>S45&amp;".1"</f>
        <v>....1</v>
      </c>
      <c r="K47" s="1293"/>
      <c r="L47" s="1299"/>
      <c r="M47" s="1164"/>
      <c r="N47" s="1164"/>
      <c r="O47" s="1164"/>
      <c r="P47" s="2777"/>
      <c r="Q47" s="2777">
        <v>1</v>
      </c>
      <c r="R47" s="292"/>
      <c r="S47" s="964"/>
      <c r="T47" s="1317"/>
      <c r="U47" s="1302"/>
      <c r="V47" s="2796"/>
      <c r="W47" s="2796"/>
      <c r="X47" s="2796"/>
      <c r="Y47" s="2796"/>
      <c r="Z47" s="2796"/>
      <c r="AA47" s="2797"/>
      <c r="AB47" s="1872"/>
      <c r="AC47" s="2796"/>
      <c r="AD47" s="2796"/>
      <c r="AE47" s="2796"/>
      <c r="AF47" s="2796"/>
      <c r="AG47" s="2796"/>
      <c r="AH47" s="2796"/>
      <c r="AI47" s="2796"/>
      <c r="AJ47" s="2797"/>
      <c r="AK47" s="1303"/>
      <c r="AM47" s="1542"/>
      <c r="AN47" s="1542" t="str">
        <f t="shared" si="1"/>
        <v/>
      </c>
      <c r="AO47" s="1542"/>
      <c r="AP47" s="1542"/>
      <c r="AQ47" s="1554">
        <v>0</v>
      </c>
    </row>
    <row r="48" spans="1:43" ht="21.95" customHeight="1">
      <c r="A48" s="1185" t="s">
        <v>208</v>
      </c>
      <c r="B48" s="1185" t="s">
        <v>209</v>
      </c>
      <c r="C48" s="1185" t="s">
        <v>210</v>
      </c>
      <c r="D48" s="1185" t="s">
        <v>211</v>
      </c>
      <c r="E48" s="2791"/>
      <c r="F48" s="2791"/>
      <c r="G48" s="2791"/>
      <c r="H48" s="2791"/>
      <c r="I48" s="2610"/>
      <c r="J48" s="2610"/>
      <c r="K48" s="1853" t="str">
        <f>S45&amp;".1"</f>
        <v>....1</v>
      </c>
      <c r="L48" s="1228"/>
      <c r="P48" s="2777"/>
      <c r="Q48" s="2777"/>
      <c r="R48" s="292">
        <v>1</v>
      </c>
      <c r="S48" s="1874" t="str">
        <f>$K48</f>
        <v>....1</v>
      </c>
      <c r="T48" s="1873"/>
      <c r="U48" s="236"/>
      <c r="V48" s="686"/>
      <c r="W48" s="1175"/>
      <c r="X48" s="1867"/>
      <c r="Y48" s="1854" t="s">
        <v>66</v>
      </c>
      <c r="Z48" s="1867"/>
      <c r="AA48" s="1854" t="s">
        <v>66</v>
      </c>
      <c r="AB48" s="1876"/>
      <c r="AC48" s="1875" t="s">
        <v>28</v>
      </c>
      <c r="AD48" s="686"/>
      <c r="AE48" s="1175"/>
      <c r="AF48" s="1867"/>
      <c r="AG48" s="1854" t="s">
        <v>66</v>
      </c>
      <c r="AH48" s="1867"/>
      <c r="AI48" s="1854" t="s">
        <v>66</v>
      </c>
      <c r="AJ48" s="1266"/>
      <c r="AK48" s="2773" t="s">
        <v>482</v>
      </c>
      <c r="AL48" s="1554" t="e">
        <f ca="1">STRCHECKDATE(#REF!)</f>
        <v>#NAME?</v>
      </c>
      <c r="AM48" s="1542"/>
      <c r="AN48" s="1542" t="str">
        <f t="shared" si="1"/>
        <v/>
      </c>
      <c r="AO48" s="1542"/>
      <c r="AP48" s="1542"/>
      <c r="AQ48" s="1549">
        <v>21</v>
      </c>
    </row>
    <row r="49" spans="1:43" ht="11.45" customHeight="1">
      <c r="A49" s="1185" t="s">
        <v>208</v>
      </c>
      <c r="B49" s="1185" t="s">
        <v>209</v>
      </c>
      <c r="C49" s="1185" t="s">
        <v>210</v>
      </c>
      <c r="D49" s="1185" t="s">
        <v>211</v>
      </c>
      <c r="E49" s="2791"/>
      <c r="F49" s="2791"/>
      <c r="G49" s="2791"/>
      <c r="H49" s="2791"/>
      <c r="I49" s="2610"/>
      <c r="J49" s="2638"/>
      <c r="K49" s="1185"/>
      <c r="L49" s="1228"/>
      <c r="P49" s="2777"/>
      <c r="Q49" s="2777"/>
      <c r="R49" s="291"/>
      <c r="S49" s="1196"/>
      <c r="T49" s="223" t="s">
        <v>470</v>
      </c>
      <c r="U49" s="535"/>
      <c r="V49" s="535"/>
      <c r="W49" s="535"/>
      <c r="X49" s="535"/>
      <c r="Y49" s="535"/>
      <c r="Z49" s="535"/>
      <c r="AA49" s="260"/>
      <c r="AB49" s="535"/>
      <c r="AC49" s="535"/>
      <c r="AD49" s="535"/>
      <c r="AE49" s="535"/>
      <c r="AF49" s="535"/>
      <c r="AG49" s="535"/>
      <c r="AH49" s="535"/>
      <c r="AI49" s="535"/>
      <c r="AJ49" s="260"/>
      <c r="AK49" s="2775"/>
      <c r="AM49" s="1542"/>
      <c r="AN49" s="1542" t="str">
        <f t="shared" si="1"/>
        <v>Добавить строку</v>
      </c>
      <c r="AO49" s="1542"/>
      <c r="AP49" s="1542"/>
      <c r="AQ49" s="1549">
        <v>11</v>
      </c>
    </row>
    <row r="50" spans="1:43" s="2520" customFormat="1" ht="1.1499999999999999" customHeight="1">
      <c r="A50" s="1293" t="s">
        <v>208</v>
      </c>
      <c r="B50" s="1293" t="s">
        <v>209</v>
      </c>
      <c r="C50" s="1293" t="s">
        <v>210</v>
      </c>
      <c r="D50" s="1293" t="s">
        <v>211</v>
      </c>
      <c r="E50" s="2791"/>
      <c r="F50" s="2791"/>
      <c r="G50" s="2791"/>
      <c r="H50" s="2791"/>
      <c r="I50" s="2638"/>
      <c r="J50" s="1293"/>
      <c r="K50" s="1293"/>
      <c r="L50" s="1299"/>
      <c r="M50" s="1164"/>
      <c r="N50" s="1164"/>
      <c r="O50" s="1164"/>
      <c r="P50" s="2777"/>
      <c r="Q50" s="1866"/>
      <c r="R50" s="291"/>
      <c r="S50" s="1304"/>
      <c r="T50" s="1305" t="s">
        <v>414</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544" customFormat="1" ht="1.1499999999999999" customHeight="1">
      <c r="A51" s="1293" t="s">
        <v>208</v>
      </c>
      <c r="B51" s="1293" t="s">
        <v>209</v>
      </c>
      <c r="C51" s="1293" t="s">
        <v>210</v>
      </c>
      <c r="D51" s="1293" t="s">
        <v>211</v>
      </c>
      <c r="E51" s="2791"/>
      <c r="F51" s="2791"/>
      <c r="G51" s="2791"/>
      <c r="H51" s="2790"/>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520" customFormat="1" ht="1.1499999999999999" customHeight="1">
      <c r="A52" s="1293" t="s">
        <v>208</v>
      </c>
      <c r="B52" s="1293" t="s">
        <v>209</v>
      </c>
      <c r="C52" s="1293" t="s">
        <v>210</v>
      </c>
      <c r="D52" s="1292"/>
      <c r="E52" s="2791"/>
      <c r="F52" s="2791"/>
      <c r="G52" s="2790"/>
      <c r="H52" s="1292"/>
      <c r="I52" s="1292"/>
      <c r="J52" s="1292"/>
      <c r="K52" s="1292"/>
      <c r="L52" s="1295"/>
      <c r="M52" s="1296"/>
      <c r="N52" s="1296"/>
      <c r="O52" s="286"/>
      <c r="P52" s="1234"/>
      <c r="Q52" s="1235"/>
      <c r="R52" s="1234"/>
      <c r="S52" s="1240"/>
      <c r="T52" s="1243" t="s">
        <v>160</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520" customFormat="1" ht="1.1499999999999999" customHeight="1">
      <c r="A53" s="1293" t="s">
        <v>208</v>
      </c>
      <c r="B53" s="1293" t="s">
        <v>209</v>
      </c>
      <c r="C53" s="1292"/>
      <c r="D53" s="1292"/>
      <c r="E53" s="2791"/>
      <c r="F53" s="2790"/>
      <c r="G53" s="1292"/>
      <c r="H53" s="1292"/>
      <c r="I53" s="1292"/>
      <c r="J53" s="1292"/>
      <c r="K53" s="1292"/>
      <c r="L53" s="1295"/>
      <c r="M53" s="1297"/>
      <c r="N53" s="1297"/>
      <c r="O53" s="286"/>
      <c r="P53" s="1234"/>
      <c r="Q53" s="1235"/>
      <c r="R53" s="1234"/>
      <c r="S53" s="1240"/>
      <c r="T53" s="1243" t="s">
        <v>161</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520" customFormat="1" ht="1.1499999999999999" customHeight="1">
      <c r="A54" s="1293" t="s">
        <v>208</v>
      </c>
      <c r="B54" s="1293"/>
      <c r="C54" s="1293"/>
      <c r="D54" s="1293"/>
      <c r="E54" s="2791"/>
      <c r="F54" s="1293"/>
      <c r="G54" s="1293"/>
      <c r="H54" s="1293"/>
      <c r="I54" s="1293"/>
      <c r="J54" s="1293"/>
      <c r="K54" s="1293"/>
      <c r="L54" s="1299"/>
      <c r="M54" s="1297"/>
      <c r="N54" s="1297"/>
      <c r="O54" s="286"/>
      <c r="P54" s="315"/>
      <c r="Q54" s="1262"/>
      <c r="R54" s="315"/>
      <c r="S54" s="1240"/>
      <c r="T54" s="1243" t="s">
        <v>162</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520" customFormat="1" ht="1.1499999999999999" customHeight="1">
      <c r="A55" s="1293" t="s">
        <v>208</v>
      </c>
      <c r="B55" s="1293"/>
      <c r="C55" s="1293"/>
      <c r="D55" s="1293"/>
      <c r="E55" s="2790"/>
      <c r="F55" s="1293"/>
      <c r="G55" s="1293"/>
      <c r="H55" s="1293"/>
      <c r="I55" s="1293"/>
      <c r="J55" s="1293"/>
      <c r="K55" s="1293"/>
      <c r="L55" s="1299"/>
      <c r="M55" s="1297"/>
      <c r="N55" s="1297"/>
      <c r="O55" s="286"/>
      <c r="P55" s="315"/>
      <c r="Q55" s="1262"/>
      <c r="R55" s="315"/>
      <c r="S55" s="1240"/>
      <c r="T55" s="1243" t="s">
        <v>162</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520"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163</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786"/>
      <c r="U58" s="2786"/>
      <c r="V58" s="2786"/>
      <c r="W58" s="2786"/>
      <c r="X58" s="2786"/>
      <c r="Y58" s="2786"/>
      <c r="Z58" s="2786"/>
      <c r="AA58" s="2786"/>
      <c r="AB58" s="2786"/>
      <c r="AC58" s="2786"/>
      <c r="AD58" s="2786"/>
      <c r="AE58" s="2786"/>
      <c r="AF58" s="2786"/>
      <c r="AG58" s="2786"/>
      <c r="AH58" s="2786"/>
      <c r="AI58" s="2786"/>
      <c r="AJ58" s="2786"/>
      <c r="AK58" s="2786"/>
      <c r="AQ58" s="1549">
        <v>19</v>
      </c>
    </row>
    <row r="59" spans="1:43" ht="21" customHeight="1">
      <c r="O59" s="1553"/>
      <c r="T59" s="2786"/>
      <c r="U59" s="2786"/>
      <c r="V59" s="2786"/>
      <c r="W59" s="2786"/>
      <c r="X59" s="2786"/>
      <c r="Y59" s="2786"/>
      <c r="Z59" s="2786"/>
      <c r="AA59" s="2786"/>
      <c r="AB59" s="2786"/>
      <c r="AC59" s="2786"/>
      <c r="AD59" s="2786"/>
      <c r="AE59" s="2786"/>
      <c r="AF59" s="2786"/>
      <c r="AG59" s="2786"/>
      <c r="AH59" s="2786"/>
      <c r="AI59" s="2786"/>
      <c r="AJ59" s="2786"/>
      <c r="AK59" s="2786"/>
      <c r="AQ59" s="1549">
        <v>20</v>
      </c>
    </row>
    <row r="60" spans="1:43" ht="14.65" customHeight="1">
      <c r="O60" s="1553"/>
      <c r="T60" s="1865"/>
      <c r="U60" s="1865"/>
      <c r="V60" s="1865"/>
      <c r="W60" s="1865"/>
      <c r="X60" s="1865"/>
      <c r="Y60" s="1865"/>
      <c r="Z60" s="1865"/>
      <c r="AA60" s="1865"/>
      <c r="AB60" s="1865"/>
      <c r="AC60" s="1865"/>
      <c r="AD60" s="1865"/>
      <c r="AE60" s="1865"/>
      <c r="AF60" s="1865"/>
      <c r="AG60" s="1865"/>
      <c r="AH60" s="1865"/>
      <c r="AI60" s="1865"/>
      <c r="AJ60" s="1865"/>
      <c r="AK60" s="1865"/>
      <c r="AQ60" s="1549">
        <v>14</v>
      </c>
    </row>
    <row r="61" spans="1:43" ht="19.899999999999999" customHeight="1">
      <c r="O61" s="1553"/>
      <c r="T61" s="2786"/>
      <c r="U61" s="2786"/>
      <c r="V61" s="2786"/>
      <c r="W61" s="2786"/>
      <c r="X61" s="2786"/>
      <c r="Y61" s="2786"/>
      <c r="Z61" s="2786"/>
      <c r="AA61" s="2786"/>
      <c r="AB61" s="2786"/>
      <c r="AC61" s="2786"/>
      <c r="AD61" s="2786"/>
      <c r="AE61" s="2786"/>
      <c r="AF61" s="2786"/>
      <c r="AG61" s="2786"/>
      <c r="AH61" s="2786"/>
      <c r="AI61" s="2786"/>
      <c r="AJ61" s="2786"/>
      <c r="AK61" s="2786"/>
      <c r="AQ61" s="1549">
        <v>19</v>
      </c>
    </row>
    <row r="62" spans="1:43" ht="16.899999999999999" customHeight="1">
      <c r="O62" s="1553"/>
      <c r="T62" s="2786"/>
      <c r="U62" s="2786"/>
      <c r="V62" s="2786"/>
      <c r="W62" s="2786"/>
      <c r="X62" s="2786"/>
      <c r="Y62" s="2786"/>
      <c r="Z62" s="2786"/>
      <c r="AA62" s="2786"/>
      <c r="AB62" s="2786"/>
      <c r="AC62" s="2786"/>
      <c r="AD62" s="2786"/>
      <c r="AE62" s="2786"/>
      <c r="AF62" s="2786"/>
      <c r="AG62" s="2786"/>
      <c r="AH62" s="2786"/>
      <c r="AI62" s="2786"/>
      <c r="AJ62" s="2786"/>
      <c r="AK62" s="2786"/>
      <c r="AQ62" s="1549">
        <v>16</v>
      </c>
    </row>
    <row r="63" spans="1:43" ht="14.65" customHeight="1">
      <c r="O63" s="1553"/>
      <c r="AQ63" s="1549">
        <v>14</v>
      </c>
    </row>
    <row r="64" spans="1:43" ht="22.5" hidden="1" customHeight="1">
      <c r="A64" s="1549" t="s">
        <v>81</v>
      </c>
      <c r="B64" s="1549">
        <v>0</v>
      </c>
      <c r="C64" s="1549">
        <v>0</v>
      </c>
      <c r="D64" s="1549">
        <v>0</v>
      </c>
      <c r="E64" s="1549">
        <v>0</v>
      </c>
      <c r="F64" s="1549">
        <v>0</v>
      </c>
      <c r="G64" s="1549">
        <v>0</v>
      </c>
      <c r="H64" s="1549">
        <v>0</v>
      </c>
      <c r="I64" s="1549">
        <v>0</v>
      </c>
      <c r="J64" s="1549">
        <v>0</v>
      </c>
      <c r="K64" s="1549">
        <v>0</v>
      </c>
      <c r="L64" s="1851">
        <v>0</v>
      </c>
      <c r="M64" s="1877">
        <v>0</v>
      </c>
      <c r="N64" s="1877">
        <v>0</v>
      </c>
      <c r="O64" s="1877">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519" hidden="1" customWidth="1"/>
    <col min="2" max="2" width="11" style="2519" hidden="1" customWidth="1"/>
    <col min="3" max="3" width="10.5703125" style="2519" hidden="1"/>
    <col min="4" max="4" width="12.85546875" style="2519" hidden="1" customWidth="1"/>
    <col min="5" max="5" width="10" style="2519" hidden="1" customWidth="1"/>
    <col min="6" max="6" width="8.7109375" style="2519" hidden="1" customWidth="1"/>
    <col min="7" max="7" width="7.5703125" style="2519" hidden="1" customWidth="1"/>
    <col min="8" max="8" width="11.42578125" style="2519" hidden="1" customWidth="1"/>
    <col min="9" max="9" width="12" style="2519" hidden="1" customWidth="1"/>
    <col min="10" max="10" width="9.85546875" style="2519" hidden="1" customWidth="1"/>
    <col min="11" max="11" width="11.42578125" style="2519" hidden="1" customWidth="1"/>
    <col min="12" max="12" width="19.140625" style="2545" hidden="1" customWidth="1"/>
    <col min="13" max="14" width="12.28515625" style="2546" hidden="1" customWidth="1"/>
    <col min="15" max="15" width="23.42578125" style="2546" hidden="1" customWidth="1"/>
    <col min="16" max="16" width="3.7109375" style="2546" hidden="1" customWidth="1"/>
    <col min="17" max="17" width="3.7109375" style="2552" hidden="1" customWidth="1"/>
    <col min="18" max="18" width="3" style="2548" customWidth="1"/>
    <col min="19" max="19" width="12" style="2549" customWidth="1"/>
    <col min="20" max="20" width="31" style="2513" customWidth="1"/>
    <col min="21" max="21" width="0.140625" style="2513" customWidth="1"/>
    <col min="22" max="25" width="21.7109375" style="2513" hidden="1" customWidth="1"/>
    <col min="26" max="26" width="11.7109375" style="2513" hidden="1" customWidth="1"/>
    <col min="27" max="27" width="3.7109375" style="2513" hidden="1" customWidth="1"/>
    <col min="28" max="28" width="11.7109375" style="2513" hidden="1" customWidth="1"/>
    <col min="29" max="29" width="8.5703125" style="2513" hidden="1" customWidth="1"/>
    <col min="30" max="30" width="3.7109375" style="2513" customWidth="1"/>
    <col min="31" max="32" width="3" style="2513" customWidth="1"/>
    <col min="33" max="33" width="24" style="2513" customWidth="1"/>
    <col min="34" max="34" width="3.7109375" style="2513" customWidth="1"/>
    <col min="35" max="36" width="3" style="2513" customWidth="1"/>
    <col min="37" max="37" width="24" style="2513" customWidth="1"/>
    <col min="38" max="38" width="3.7109375" style="2513" customWidth="1"/>
    <col min="39" max="40" width="3" style="2513" customWidth="1"/>
    <col min="41" max="41" width="18" style="2513" customWidth="1"/>
    <col min="42" max="42" width="3.7109375" style="2513" customWidth="1"/>
    <col min="43" max="44" width="3" style="2513" customWidth="1"/>
    <col min="45" max="45" width="18" style="2513" customWidth="1"/>
    <col min="46" max="49" width="21" style="2513" customWidth="1"/>
    <col min="50" max="50" width="11" style="2513" customWidth="1"/>
    <col min="51" max="51" width="3.7109375" style="2513" customWidth="1"/>
    <col min="52" max="52" width="11" style="2513" customWidth="1"/>
    <col min="53" max="53" width="8.5703125" style="2513" hidden="1" customWidth="1"/>
    <col min="54" max="54" width="4" style="2513" customWidth="1"/>
    <col min="55" max="55" width="115" style="2513" customWidth="1"/>
    <col min="56" max="60" width="10" style="2520" customWidth="1"/>
    <col min="61" max="61" width="10.5703125" style="2513" hidden="1"/>
  </cols>
  <sheetData>
    <row r="1" spans="1:61" ht="22.5" hidden="1" customHeight="1">
      <c r="W1" s="263"/>
      <c r="Y1" s="263"/>
      <c r="Z1" s="263"/>
      <c r="AW1" s="263"/>
      <c r="AX1" s="263"/>
      <c r="BI1" s="1073" t="s">
        <v>14</v>
      </c>
    </row>
    <row r="2" spans="1:61" ht="21" hidden="1" customHeight="1">
      <c r="A2" s="1281"/>
      <c r="B2" s="1281"/>
      <c r="C2" s="1281"/>
      <c r="D2" s="1281"/>
      <c r="E2" s="2778">
        <v>1</v>
      </c>
      <c r="F2" s="1281"/>
      <c r="G2" s="1281"/>
      <c r="H2" s="1281"/>
      <c r="I2" s="1281"/>
      <c r="J2" s="1281"/>
      <c r="K2" s="1281"/>
      <c r="L2" s="1282"/>
      <c r="M2" s="1283"/>
      <c r="N2" s="1283"/>
      <c r="O2" s="1283"/>
      <c r="P2" s="1327"/>
      <c r="Q2" s="798"/>
      <c r="R2" s="290"/>
      <c r="S2" s="1383" t="e">
        <f>INDEX(PT_DIFFERENTIATION_NUM_NTAR,MATCH(A2,PT_DIFFERENTIATION_NTAR_ID,0))</f>
        <v>#N/A</v>
      </c>
      <c r="T2" s="234" t="s">
        <v>122</v>
      </c>
      <c r="U2" s="236"/>
      <c r="V2" s="2767"/>
      <c r="W2" s="2767"/>
      <c r="X2" s="2767"/>
      <c r="Y2" s="2767"/>
      <c r="Z2" s="2767"/>
      <c r="AA2" s="2767"/>
      <c r="AB2" s="2767"/>
      <c r="AC2" s="2768"/>
      <c r="AD2" s="2766" t="e">
        <f>INDEX(PT_DIFFERENTIATION_NTAR,MATCH(A2,PT_DIFFERENTIATION_NTAR_ID,0))</f>
        <v>#N/A</v>
      </c>
      <c r="AE2" s="2767"/>
      <c r="AF2" s="2767"/>
      <c r="AG2" s="2767"/>
      <c r="AH2" s="2767"/>
      <c r="AI2" s="2767"/>
      <c r="AJ2" s="2767"/>
      <c r="AK2" s="2767"/>
      <c r="AL2" s="2767"/>
      <c r="AM2" s="2767"/>
      <c r="AN2" s="2767"/>
      <c r="AO2" s="2767"/>
      <c r="AP2" s="2767"/>
      <c r="AQ2" s="2767"/>
      <c r="AR2" s="2767"/>
      <c r="AS2" s="2767"/>
      <c r="AT2" s="2767"/>
      <c r="AU2" s="2767"/>
      <c r="AV2" s="2767"/>
      <c r="AW2" s="2767"/>
      <c r="AX2" s="2767"/>
      <c r="AY2" s="2767"/>
      <c r="AZ2" s="2767"/>
      <c r="BA2" s="2767"/>
      <c r="BB2" s="276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779"/>
      <c r="F3" s="2778">
        <v>1</v>
      </c>
      <c r="G3" s="1281"/>
      <c r="H3" s="1281"/>
      <c r="I3" s="1281"/>
      <c r="J3" s="1281"/>
      <c r="K3" s="1281"/>
      <c r="L3" s="1282"/>
      <c r="M3" s="1283"/>
      <c r="N3" s="1283"/>
      <c r="O3" s="1283"/>
      <c r="P3" s="1328"/>
      <c r="Q3" s="1329"/>
      <c r="R3" s="288"/>
      <c r="S3" s="1383" t="e">
        <f>INDEX(PT_DIFFERENTIATION_NUM_TER,MATCH(B3,PT_DIFFERENTIATION_TER_ID,0))</f>
        <v>#N/A</v>
      </c>
      <c r="T3" s="244" t="s">
        <v>399</v>
      </c>
      <c r="U3" s="236"/>
      <c r="V3" s="2767"/>
      <c r="W3" s="2767"/>
      <c r="X3" s="2767"/>
      <c r="Y3" s="2767"/>
      <c r="Z3" s="2767"/>
      <c r="AA3" s="2767"/>
      <c r="AB3" s="2767"/>
      <c r="AC3" s="2768"/>
      <c r="AD3" s="2766" t="e">
        <f>INDEX(PT_DIFFERENTIATION_TER,MATCH(B3,PT_DIFFERENTIATION_TER_ID,0))</f>
        <v>#N/A</v>
      </c>
      <c r="AE3" s="2767"/>
      <c r="AF3" s="2767"/>
      <c r="AG3" s="2767"/>
      <c r="AH3" s="2767"/>
      <c r="AI3" s="2767"/>
      <c r="AJ3" s="2767"/>
      <c r="AK3" s="2767"/>
      <c r="AL3" s="2767"/>
      <c r="AM3" s="2767"/>
      <c r="AN3" s="2767"/>
      <c r="AO3" s="2767"/>
      <c r="AP3" s="2767"/>
      <c r="AQ3" s="2767"/>
      <c r="AR3" s="2767"/>
      <c r="AS3" s="2767"/>
      <c r="AT3" s="2767"/>
      <c r="AU3" s="2767"/>
      <c r="AV3" s="2767"/>
      <c r="AW3" s="2767"/>
      <c r="AX3" s="2767"/>
      <c r="AY3" s="2767"/>
      <c r="AZ3" s="2767"/>
      <c r="BA3" s="2767"/>
      <c r="BB3" s="2768"/>
      <c r="BC3" s="1176" t="s">
        <v>400</v>
      </c>
      <c r="BE3" s="435"/>
      <c r="BF3" s="435" t="str">
        <f t="shared" si="0"/>
        <v>Территория действия тарифа</v>
      </c>
      <c r="BG3" s="435"/>
      <c r="BH3" s="435"/>
      <c r="BI3" s="1073">
        <v>0</v>
      </c>
    </row>
    <row r="4" spans="1:61" ht="42" hidden="1" customHeight="1">
      <c r="A4" s="1281"/>
      <c r="B4" s="1281"/>
      <c r="C4" s="1281"/>
      <c r="D4" s="1281"/>
      <c r="E4" s="2779"/>
      <c r="F4" s="2779"/>
      <c r="G4" s="2778">
        <v>1</v>
      </c>
      <c r="H4" s="1281"/>
      <c r="I4" s="1281"/>
      <c r="J4" s="1281"/>
      <c r="K4" s="1281"/>
      <c r="L4" s="1282"/>
      <c r="M4" s="1283"/>
      <c r="N4" s="1283"/>
      <c r="O4" s="1283"/>
      <c r="P4" s="1330"/>
      <c r="Q4" s="1329"/>
      <c r="R4" s="288"/>
      <c r="S4" s="1383" t="e">
        <f>INDEX(PT_DIFFERENTIATION_NUM_CS,MATCH(C4,PT_DIFFERENTIATION_CS_ID,0))</f>
        <v>#N/A</v>
      </c>
      <c r="T4" s="245" t="s">
        <v>483</v>
      </c>
      <c r="U4" s="236"/>
      <c r="V4" s="2767"/>
      <c r="W4" s="2767"/>
      <c r="X4" s="2767"/>
      <c r="Y4" s="2767"/>
      <c r="Z4" s="2767"/>
      <c r="AA4" s="2767"/>
      <c r="AB4" s="2767"/>
      <c r="AC4" s="2768"/>
      <c r="AD4" s="2766" t="e">
        <f>INDEX(PT_DIFFERENTIATION_CS,MATCH(C4,PT_DIFFERENTIATION_CS_ID,0))</f>
        <v>#N/A</v>
      </c>
      <c r="AE4" s="2767"/>
      <c r="AF4" s="2767"/>
      <c r="AG4" s="2767"/>
      <c r="AH4" s="2767"/>
      <c r="AI4" s="2767"/>
      <c r="AJ4" s="2767"/>
      <c r="AK4" s="2767"/>
      <c r="AL4" s="2767"/>
      <c r="AM4" s="2767"/>
      <c r="AN4" s="2767"/>
      <c r="AO4" s="2767"/>
      <c r="AP4" s="2767"/>
      <c r="AQ4" s="2767"/>
      <c r="AR4" s="2767"/>
      <c r="AS4" s="2767"/>
      <c r="AT4" s="2767"/>
      <c r="AU4" s="2767"/>
      <c r="AV4" s="2767"/>
      <c r="AW4" s="2767"/>
      <c r="AX4" s="2767"/>
      <c r="AY4" s="2767"/>
      <c r="AZ4" s="2767"/>
      <c r="BA4" s="2767"/>
      <c r="BB4" s="2768"/>
      <c r="BC4" s="1176" t="s">
        <v>484</v>
      </c>
      <c r="BE4" s="435"/>
      <c r="BF4" s="435" t="str">
        <f t="shared" si="0"/>
        <v>Наименование централизованной системы холодного водоснабжения</v>
      </c>
      <c r="BG4" s="435"/>
      <c r="BH4" s="435"/>
      <c r="BI4" s="1073">
        <v>0</v>
      </c>
    </row>
    <row r="5" spans="1:61" s="2520" customFormat="1" ht="14.25" hidden="1" customHeight="1">
      <c r="A5" s="1261"/>
      <c r="B5" s="1261"/>
      <c r="C5" s="1261"/>
      <c r="D5" s="1261"/>
      <c r="E5" s="2779"/>
      <c r="F5" s="2779"/>
      <c r="G5" s="2779"/>
      <c r="H5" s="2778">
        <v>1</v>
      </c>
      <c r="I5" s="1261"/>
      <c r="J5" s="1261"/>
      <c r="K5" s="1261"/>
      <c r="L5" s="1264"/>
      <c r="M5" s="1233"/>
      <c r="N5" s="1233"/>
      <c r="O5" s="1233"/>
      <c r="P5" s="1415"/>
      <c r="Q5" s="1416"/>
      <c r="R5" s="292"/>
      <c r="S5" s="964"/>
      <c r="T5" s="1417"/>
      <c r="U5" s="1302"/>
      <c r="V5" s="2796"/>
      <c r="W5" s="2796"/>
      <c r="X5" s="2796"/>
      <c r="Y5" s="2796"/>
      <c r="Z5" s="2796"/>
      <c r="AA5" s="2796"/>
      <c r="AB5" s="2796"/>
      <c r="AC5" s="2797"/>
      <c r="AD5" s="2795"/>
      <c r="AE5" s="2796"/>
      <c r="AF5" s="2796"/>
      <c r="AG5" s="2796"/>
      <c r="AH5" s="2796"/>
      <c r="AI5" s="2796"/>
      <c r="AJ5" s="2796"/>
      <c r="AK5" s="2796"/>
      <c r="AL5" s="2796"/>
      <c r="AM5" s="2796"/>
      <c r="AN5" s="2796"/>
      <c r="AO5" s="2796"/>
      <c r="AP5" s="2796"/>
      <c r="AQ5" s="2796"/>
      <c r="AR5" s="2796"/>
      <c r="AS5" s="2796"/>
      <c r="AT5" s="2796"/>
      <c r="AU5" s="2796"/>
      <c r="AV5" s="2796"/>
      <c r="AW5" s="2796"/>
      <c r="AX5" s="2796"/>
      <c r="AY5" s="2796"/>
      <c r="AZ5" s="2796"/>
      <c r="BA5" s="2796"/>
      <c r="BB5" s="2797"/>
      <c r="BC5" s="1303" t="s">
        <v>404</v>
      </c>
      <c r="BE5" s="435"/>
      <c r="BF5" s="435" t="str">
        <f t="shared" si="0"/>
        <v/>
      </c>
      <c r="BG5" s="435"/>
      <c r="BH5" s="435"/>
      <c r="BI5" s="446">
        <v>0</v>
      </c>
    </row>
    <row r="6" spans="1:61" s="2520" customFormat="1" ht="14.25" hidden="1" customHeight="1">
      <c r="A6" s="1261"/>
      <c r="B6" s="1261"/>
      <c r="C6" s="1261"/>
      <c r="D6" s="1261"/>
      <c r="E6" s="2779"/>
      <c r="F6" s="2779"/>
      <c r="G6" s="2779"/>
      <c r="H6" s="2779"/>
      <c r="I6" s="2776" t="str">
        <f>S5&amp;".1"</f>
        <v>.1</v>
      </c>
      <c r="J6" s="1261"/>
      <c r="K6" s="1261"/>
      <c r="L6" s="1264" t="s">
        <v>405</v>
      </c>
      <c r="M6" s="445"/>
      <c r="N6" s="445"/>
      <c r="O6" s="445"/>
      <c r="P6" s="2777">
        <v>1</v>
      </c>
      <c r="Q6" s="1380"/>
      <c r="R6" s="291"/>
      <c r="S6" s="964"/>
      <c r="T6" s="1301"/>
      <c r="U6" s="1302"/>
      <c r="V6" s="2796"/>
      <c r="W6" s="2796"/>
      <c r="X6" s="2796"/>
      <c r="Y6" s="2796"/>
      <c r="Z6" s="2796"/>
      <c r="AA6" s="2796"/>
      <c r="AB6" s="2796"/>
      <c r="AC6" s="2797"/>
      <c r="AD6" s="2795"/>
      <c r="AE6" s="2796"/>
      <c r="AF6" s="2796"/>
      <c r="AG6" s="2796"/>
      <c r="AH6" s="2796"/>
      <c r="AI6" s="2796"/>
      <c r="AJ6" s="2796"/>
      <c r="AK6" s="2796"/>
      <c r="AL6" s="2796"/>
      <c r="AM6" s="2796"/>
      <c r="AN6" s="2796"/>
      <c r="AO6" s="2796"/>
      <c r="AP6" s="2796"/>
      <c r="AQ6" s="2796"/>
      <c r="AR6" s="2796"/>
      <c r="AS6" s="2796"/>
      <c r="AT6" s="2796"/>
      <c r="AU6" s="2796"/>
      <c r="AV6" s="2796"/>
      <c r="AW6" s="2796"/>
      <c r="AX6" s="2796"/>
      <c r="AY6" s="2796"/>
      <c r="AZ6" s="2796"/>
      <c r="BA6" s="2796"/>
      <c r="BB6" s="2797"/>
      <c r="BC6" s="1303"/>
      <c r="BE6" s="435"/>
      <c r="BF6" s="435" t="str">
        <f t="shared" si="0"/>
        <v/>
      </c>
      <c r="BG6" s="435"/>
      <c r="BH6" s="435"/>
      <c r="BI6" s="446">
        <v>0</v>
      </c>
    </row>
    <row r="7" spans="1:61" s="2520" customFormat="1" ht="14.25" hidden="1" customHeight="1">
      <c r="A7" s="1261"/>
      <c r="B7" s="1261"/>
      <c r="C7" s="1261"/>
      <c r="D7" s="1261"/>
      <c r="E7" s="2779"/>
      <c r="F7" s="2779"/>
      <c r="G7" s="2779"/>
      <c r="H7" s="2779"/>
      <c r="I7" s="2787"/>
      <c r="J7" s="2776" t="str">
        <f>S5&amp;".1"</f>
        <v>.1</v>
      </c>
      <c r="K7" s="1261"/>
      <c r="L7" s="1264"/>
      <c r="M7" s="445"/>
      <c r="N7" s="445"/>
      <c r="O7" s="445"/>
      <c r="P7" s="2777"/>
      <c r="Q7" s="2777">
        <v>1</v>
      </c>
      <c r="R7" s="292"/>
      <c r="S7" s="964"/>
      <c r="T7" s="1317"/>
      <c r="U7" s="1302"/>
      <c r="V7" s="2796"/>
      <c r="W7" s="2796"/>
      <c r="X7" s="2796"/>
      <c r="Y7" s="2796"/>
      <c r="Z7" s="2796"/>
      <c r="AA7" s="2796"/>
      <c r="AB7" s="2796"/>
      <c r="AC7" s="2797"/>
      <c r="AD7" s="2795"/>
      <c r="AE7" s="2796"/>
      <c r="AF7" s="2796"/>
      <c r="AG7" s="2796"/>
      <c r="AH7" s="2796"/>
      <c r="AI7" s="2796"/>
      <c r="AJ7" s="2796"/>
      <c r="AK7" s="2796"/>
      <c r="AL7" s="2796"/>
      <c r="AM7" s="2796"/>
      <c r="AN7" s="2796"/>
      <c r="AO7" s="2796"/>
      <c r="AP7" s="2796"/>
      <c r="AQ7" s="2796"/>
      <c r="AR7" s="2796"/>
      <c r="AS7" s="2796"/>
      <c r="AT7" s="2796"/>
      <c r="AU7" s="2796"/>
      <c r="AV7" s="2796"/>
      <c r="AW7" s="2796"/>
      <c r="AX7" s="2796"/>
      <c r="AY7" s="2796"/>
      <c r="AZ7" s="2796"/>
      <c r="BA7" s="2796"/>
      <c r="BB7" s="2797"/>
      <c r="BC7" s="1303"/>
      <c r="BE7" s="435"/>
      <c r="BF7" s="435" t="str">
        <f t="shared" si="0"/>
        <v/>
      </c>
      <c r="BG7" s="435"/>
      <c r="BH7" s="435"/>
      <c r="BI7" s="446">
        <v>0</v>
      </c>
    </row>
    <row r="8" spans="1:61" ht="11.25" hidden="1" customHeight="1">
      <c r="A8" s="1281"/>
      <c r="B8" s="1281"/>
      <c r="C8" s="1281"/>
      <c r="D8" s="1281"/>
      <c r="E8" s="2779"/>
      <c r="F8" s="2779"/>
      <c r="G8" s="2779"/>
      <c r="H8" s="2779"/>
      <c r="I8" s="2787"/>
      <c r="J8" s="2787"/>
      <c r="K8" s="2776" t="e">
        <f>S4&amp;".1"</f>
        <v>#N/A</v>
      </c>
      <c r="L8" s="1282"/>
      <c r="P8" s="2777"/>
      <c r="Q8" s="2777"/>
      <c r="R8" s="2830">
        <v>1</v>
      </c>
      <c r="S8" s="2824" t="e">
        <f>$K8</f>
        <v>#N/A</v>
      </c>
      <c r="T8" s="2843"/>
      <c r="U8" s="236"/>
      <c r="V8" s="686"/>
      <c r="W8" s="1175"/>
      <c r="X8" s="686"/>
      <c r="Y8" s="1175"/>
      <c r="Z8" s="1651"/>
      <c r="AA8" s="1377" t="s">
        <v>66</v>
      </c>
      <c r="AB8" s="1651"/>
      <c r="AC8" s="1377" t="s">
        <v>66</v>
      </c>
      <c r="AD8" s="2647" t="s">
        <v>66</v>
      </c>
      <c r="AE8" s="2809"/>
      <c r="AF8" s="2720">
        <v>1</v>
      </c>
      <c r="AG8" s="2846"/>
      <c r="AH8" s="2619" t="s">
        <v>66</v>
      </c>
      <c r="AI8" s="2809"/>
      <c r="AJ8" s="2720">
        <v>1</v>
      </c>
      <c r="AK8" s="2810" t="s">
        <v>28</v>
      </c>
      <c r="AL8" s="2619" t="s">
        <v>66</v>
      </c>
      <c r="AM8" s="2710"/>
      <c r="AN8" s="2720">
        <v>1</v>
      </c>
      <c r="AO8" s="2840"/>
      <c r="AP8" s="2841" t="s">
        <v>66</v>
      </c>
      <c r="AQ8" s="247"/>
      <c r="AR8" s="1381">
        <v>1</v>
      </c>
      <c r="AS8" s="1384" t="s">
        <v>28</v>
      </c>
      <c r="AT8" s="686"/>
      <c r="AU8" s="1175"/>
      <c r="AV8" s="686"/>
      <c r="AW8" s="1175"/>
      <c r="AX8" s="1651"/>
      <c r="AY8" s="1377" t="s">
        <v>66</v>
      </c>
      <c r="AZ8" s="1651"/>
      <c r="BA8" s="1377" t="s">
        <v>66</v>
      </c>
      <c r="BB8" s="1266"/>
      <c r="BC8" s="2773" t="s">
        <v>503</v>
      </c>
      <c r="BE8" s="435"/>
      <c r="BF8" s="435" t="str">
        <f t="shared" si="0"/>
        <v/>
      </c>
      <c r="BG8" s="435"/>
      <c r="BH8" s="435"/>
      <c r="BI8" s="1073">
        <v>0</v>
      </c>
    </row>
    <row r="9" spans="1:61" ht="11.25" hidden="1" customHeight="1">
      <c r="A9" s="1281"/>
      <c r="B9" s="1281"/>
      <c r="C9" s="1281"/>
      <c r="D9" s="1281"/>
      <c r="E9" s="2779"/>
      <c r="F9" s="2779"/>
      <c r="G9" s="2779"/>
      <c r="H9" s="2779"/>
      <c r="I9" s="2787"/>
      <c r="J9" s="2787"/>
      <c r="K9" s="2776"/>
      <c r="L9" s="1282"/>
      <c r="P9" s="2777"/>
      <c r="Q9" s="2777"/>
      <c r="R9" s="2830"/>
      <c r="S9" s="2825"/>
      <c r="T9" s="2844"/>
      <c r="U9" s="236"/>
      <c r="V9" s="1311"/>
      <c r="W9" s="1414"/>
      <c r="X9" s="1311"/>
      <c r="Y9" s="1414"/>
      <c r="Z9" s="1311"/>
      <c r="AA9" s="1311"/>
      <c r="AB9" s="1311"/>
      <c r="AC9" s="1311"/>
      <c r="AD9" s="2648"/>
      <c r="AE9" s="2809"/>
      <c r="AF9" s="2720"/>
      <c r="AG9" s="2846"/>
      <c r="AH9" s="2619"/>
      <c r="AI9" s="2809"/>
      <c r="AJ9" s="2720"/>
      <c r="AK9" s="2810"/>
      <c r="AL9" s="2619"/>
      <c r="AM9" s="2715"/>
      <c r="AN9" s="2720"/>
      <c r="AO9" s="2840"/>
      <c r="AP9" s="2842"/>
      <c r="AQ9" s="252"/>
      <c r="AR9" s="351"/>
      <c r="AS9" s="351" t="s">
        <v>504</v>
      </c>
      <c r="AT9" s="1311"/>
      <c r="AU9" s="1414"/>
      <c r="AV9" s="1311"/>
      <c r="AW9" s="1414"/>
      <c r="AX9" s="1311"/>
      <c r="AY9" s="1311"/>
      <c r="AZ9" s="1311"/>
      <c r="BA9" s="1311"/>
      <c r="BB9" s="1315"/>
      <c r="BC9" s="2774"/>
      <c r="BE9" s="435"/>
      <c r="BF9" s="435"/>
      <c r="BG9" s="435"/>
      <c r="BH9" s="435"/>
      <c r="BI9" s="1073">
        <v>0</v>
      </c>
    </row>
    <row r="10" spans="1:61" ht="11.25" hidden="1" customHeight="1">
      <c r="A10" s="1281"/>
      <c r="B10" s="1281"/>
      <c r="C10" s="1281"/>
      <c r="D10" s="1281"/>
      <c r="E10" s="2779"/>
      <c r="F10" s="2779"/>
      <c r="G10" s="2779"/>
      <c r="H10" s="2779"/>
      <c r="I10" s="2787"/>
      <c r="J10" s="2787"/>
      <c r="K10" s="2776"/>
      <c r="L10" s="1282"/>
      <c r="P10" s="2777"/>
      <c r="Q10" s="2777"/>
      <c r="R10" s="2830"/>
      <c r="S10" s="2825"/>
      <c r="T10" s="2844"/>
      <c r="U10" s="236"/>
      <c r="V10" s="1311"/>
      <c r="W10" s="1414"/>
      <c r="X10" s="1311"/>
      <c r="Y10" s="1414"/>
      <c r="Z10" s="1311"/>
      <c r="AA10" s="1311"/>
      <c r="AB10" s="1311"/>
      <c r="AC10" s="1311"/>
      <c r="AD10" s="2648"/>
      <c r="AE10" s="2809"/>
      <c r="AF10" s="2720"/>
      <c r="AG10" s="2846"/>
      <c r="AH10" s="2619"/>
      <c r="AI10" s="2809"/>
      <c r="AJ10" s="2720"/>
      <c r="AK10" s="2810"/>
      <c r="AL10" s="2619"/>
      <c r="AM10" s="252"/>
      <c r="AN10" s="1418"/>
      <c r="AO10" s="1418" t="s">
        <v>505</v>
      </c>
      <c r="AP10" s="351"/>
      <c r="AQ10" s="351"/>
      <c r="AR10" s="351"/>
      <c r="AS10" s="1311"/>
      <c r="AT10" s="1311"/>
      <c r="AU10" s="1414"/>
      <c r="AV10" s="1311"/>
      <c r="AW10" s="1414"/>
      <c r="AX10" s="1311"/>
      <c r="AY10" s="1311"/>
      <c r="AZ10" s="1311"/>
      <c r="BA10" s="1311"/>
      <c r="BB10" s="1315"/>
      <c r="BC10" s="2774"/>
      <c r="BE10" s="435"/>
      <c r="BF10" s="435"/>
      <c r="BG10" s="435"/>
      <c r="BH10" s="435"/>
      <c r="BI10" s="1073">
        <v>0</v>
      </c>
    </row>
    <row r="11" spans="1:61" ht="11.25" hidden="1" customHeight="1">
      <c r="A11" s="1281"/>
      <c r="B11" s="1281"/>
      <c r="C11" s="1281"/>
      <c r="D11" s="1281"/>
      <c r="E11" s="2779"/>
      <c r="F11" s="2779"/>
      <c r="G11" s="2779"/>
      <c r="H11" s="2779"/>
      <c r="I11" s="2787"/>
      <c r="J11" s="2787"/>
      <c r="K11" s="2776"/>
      <c r="L11" s="1282"/>
      <c r="P11" s="2777"/>
      <c r="Q11" s="2777"/>
      <c r="R11" s="2830"/>
      <c r="S11" s="2825"/>
      <c r="T11" s="2844"/>
      <c r="U11" s="236"/>
      <c r="V11" s="1311"/>
      <c r="W11" s="1414"/>
      <c r="X11" s="1311"/>
      <c r="Y11" s="1414"/>
      <c r="Z11" s="1311"/>
      <c r="AA11" s="1311"/>
      <c r="AB11" s="1311"/>
      <c r="AC11" s="1311"/>
      <c r="AD11" s="2648"/>
      <c r="AE11" s="2809"/>
      <c r="AF11" s="2720"/>
      <c r="AG11" s="2846"/>
      <c r="AH11" s="2619"/>
      <c r="AI11" s="230"/>
      <c r="AJ11" s="350"/>
      <c r="AK11" s="249" t="s">
        <v>506</v>
      </c>
      <c r="AL11" s="1311"/>
      <c r="AM11" s="1311"/>
      <c r="AN11" s="1311"/>
      <c r="AO11" s="1311"/>
      <c r="AP11" s="1311"/>
      <c r="AQ11" s="1311"/>
      <c r="AR11" s="1311"/>
      <c r="AS11" s="1311"/>
      <c r="AT11" s="1311"/>
      <c r="AU11" s="1414"/>
      <c r="AV11" s="1311"/>
      <c r="AW11" s="1414"/>
      <c r="AX11" s="1311"/>
      <c r="AY11" s="1311"/>
      <c r="AZ11" s="1311"/>
      <c r="BA11" s="1311"/>
      <c r="BB11" s="1315"/>
      <c r="BC11" s="2774"/>
      <c r="BE11" s="435"/>
      <c r="BF11" s="435"/>
      <c r="BG11" s="435"/>
      <c r="BH11" s="435"/>
      <c r="BI11" s="1073">
        <v>0</v>
      </c>
    </row>
    <row r="12" spans="1:61" ht="11.25" hidden="1" customHeight="1">
      <c r="A12" s="1281"/>
      <c r="B12" s="1281"/>
      <c r="C12" s="1281"/>
      <c r="D12" s="1281"/>
      <c r="E12" s="2779"/>
      <c r="F12" s="2779"/>
      <c r="G12" s="2779"/>
      <c r="H12" s="2779"/>
      <c r="I12" s="2787"/>
      <c r="J12" s="2787"/>
      <c r="K12" s="2776"/>
      <c r="L12" s="1282"/>
      <c r="P12" s="2777"/>
      <c r="Q12" s="2777"/>
      <c r="R12" s="2830"/>
      <c r="S12" s="2826"/>
      <c r="T12" s="2845"/>
      <c r="U12" s="236"/>
      <c r="V12" s="1311"/>
      <c r="W12" s="1312" t="str">
        <f>Z8&amp;"-"&amp;AB8</f>
        <v>-</v>
      </c>
      <c r="X12" s="1311"/>
      <c r="Y12" s="1312" t="str">
        <f>AB8&amp;"-"&amp;AD8</f>
        <v>-да</v>
      </c>
      <c r="Z12" s="1311"/>
      <c r="AA12" s="1311"/>
      <c r="AB12" s="1311"/>
      <c r="AC12" s="1311"/>
      <c r="AD12" s="2624"/>
      <c r="AE12" s="248"/>
      <c r="AF12" s="250"/>
      <c r="AG12" s="351" t="s">
        <v>507</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774"/>
      <c r="BE12" s="435"/>
      <c r="BF12" s="435" t="str">
        <f t="shared" ref="BF12:BF18" si="1">IF(T12="","",T12)</f>
        <v/>
      </c>
      <c r="BG12" s="435"/>
      <c r="BH12" s="435"/>
      <c r="BI12" s="1073">
        <v>0</v>
      </c>
    </row>
    <row r="13" spans="1:61" ht="11.25" hidden="1" customHeight="1">
      <c r="A13" s="1281"/>
      <c r="B13" s="1281"/>
      <c r="C13" s="1281"/>
      <c r="D13" s="1281"/>
      <c r="E13" s="2779"/>
      <c r="F13" s="2779"/>
      <c r="G13" s="2779"/>
      <c r="H13" s="2779"/>
      <c r="I13" s="2787"/>
      <c r="J13" s="2776"/>
      <c r="K13" s="1281"/>
      <c r="L13" s="1282"/>
      <c r="P13" s="2777"/>
      <c r="Q13" s="2777"/>
      <c r="R13" s="291"/>
      <c r="S13" s="1196"/>
      <c r="T13" s="223" t="s">
        <v>470</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775"/>
      <c r="BE13" s="435"/>
      <c r="BF13" s="435" t="str">
        <f t="shared" si="1"/>
        <v>Добавить строку</v>
      </c>
      <c r="BG13" s="435"/>
      <c r="BH13" s="435"/>
      <c r="BI13" s="1073">
        <v>0</v>
      </c>
    </row>
    <row r="14" spans="1:61" s="2520" customFormat="1" ht="14.25" hidden="1" customHeight="1">
      <c r="A14" s="1261"/>
      <c r="B14" s="1261"/>
      <c r="C14" s="1261"/>
      <c r="D14" s="1261"/>
      <c r="E14" s="2779"/>
      <c r="F14" s="2779"/>
      <c r="G14" s="2779"/>
      <c r="H14" s="2779"/>
      <c r="I14" s="2776"/>
      <c r="J14" s="1261"/>
      <c r="K14" s="1261"/>
      <c r="L14" s="1264"/>
      <c r="M14" s="445"/>
      <c r="N14" s="445"/>
      <c r="O14" s="445"/>
      <c r="P14" s="2777"/>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520" customFormat="1" ht="14.25" hidden="1" customHeight="1">
      <c r="A15" s="1261"/>
      <c r="B15" s="1261"/>
      <c r="C15" s="1261"/>
      <c r="D15" s="1261"/>
      <c r="E15" s="2779"/>
      <c r="F15" s="2779"/>
      <c r="G15" s="2779"/>
      <c r="H15" s="2778"/>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520" customFormat="1" ht="14.25" hidden="1" customHeight="1">
      <c r="A16" s="1261"/>
      <c r="B16" s="1261"/>
      <c r="C16" s="1261"/>
      <c r="D16" s="1232"/>
      <c r="E16" s="2779"/>
      <c r="F16" s="2779"/>
      <c r="G16" s="2778"/>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520" customFormat="1" ht="14.25" hidden="1" customHeight="1">
      <c r="A17" s="1261"/>
      <c r="B17" s="1261"/>
      <c r="C17" s="1232"/>
      <c r="D17" s="1232"/>
      <c r="E17" s="2779"/>
      <c r="F17" s="2778"/>
      <c r="G17" s="1232"/>
      <c r="H17" s="1232"/>
      <c r="I17" s="1232"/>
      <c r="J17" s="1232"/>
      <c r="K17" s="1232"/>
      <c r="L17" s="1382"/>
      <c r="M17" s="1239"/>
      <c r="N17" s="1239"/>
      <c r="P17" s="1234"/>
      <c r="Q17" s="1235"/>
      <c r="R17" s="1234"/>
      <c r="S17" s="1240"/>
      <c r="T17" s="1243" t="s">
        <v>161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520" customFormat="1" ht="14.25" hidden="1" customHeight="1">
      <c r="A18" s="1261"/>
      <c r="B18" s="1261"/>
      <c r="C18" s="1261"/>
      <c r="D18" s="1261"/>
      <c r="E18" s="2778"/>
      <c r="F18" s="1261"/>
      <c r="G18" s="1261"/>
      <c r="H18" s="1261"/>
      <c r="I18" s="1261"/>
      <c r="J18" s="1261"/>
      <c r="K18" s="1261"/>
      <c r="L18" s="1264"/>
      <c r="M18" s="1239"/>
      <c r="N18" s="1239"/>
      <c r="O18" s="453"/>
      <c r="P18" s="315"/>
      <c r="Q18" s="1262"/>
      <c r="R18" s="315"/>
      <c r="S18" s="1240"/>
      <c r="T18" s="1243" t="s">
        <v>162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66</v>
      </c>
      <c r="AZ20" s="1653"/>
      <c r="BA20" s="1378" t="s">
        <v>66</v>
      </c>
      <c r="BI20" s="1073">
        <v>0</v>
      </c>
    </row>
    <row r="21" spans="1:61" ht="14.25" hidden="1" customHeight="1">
      <c r="BD21" s="431"/>
      <c r="BE21" s="431"/>
      <c r="BF21" s="431"/>
      <c r="BG21" s="431"/>
      <c r="BH21" s="431"/>
      <c r="BI21" s="1073">
        <v>0</v>
      </c>
    </row>
    <row r="22" spans="1:61" ht="14.25" hidden="1" customHeight="1">
      <c r="O22" s="1285" t="s">
        <v>416</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551" customFormat="1" ht="14.25" hidden="1" customHeight="1">
      <c r="M24" s="1426"/>
      <c r="N24" s="1426"/>
      <c r="O24" s="1427" t="s">
        <v>417</v>
      </c>
      <c r="P24" s="1426"/>
      <c r="Q24" s="1428"/>
      <c r="R24" s="1428"/>
      <c r="AA24" s="1425" t="s">
        <v>419</v>
      </c>
      <c r="AC24" s="1425" t="s">
        <v>420</v>
      </c>
      <c r="AD24" s="1425" t="s">
        <v>471</v>
      </c>
      <c r="AH24" s="1425" t="s">
        <v>471</v>
      </c>
      <c r="AK24" s="1425" t="s">
        <v>508</v>
      </c>
      <c r="AL24" s="1425" t="s">
        <v>471</v>
      </c>
      <c r="AP24" s="1425" t="s">
        <v>471</v>
      </c>
      <c r="AY24" s="1425" t="s">
        <v>419</v>
      </c>
      <c r="BA24" s="1425" t="s">
        <v>420</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74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749"/>
      <c r="U28" s="2749"/>
      <c r="V28" s="2749"/>
      <c r="W28" s="2749"/>
      <c r="X28" s="2749"/>
      <c r="Y28" s="2749"/>
      <c r="Z28" s="2749"/>
      <c r="AA28" s="2749"/>
      <c r="AB28" s="2749"/>
      <c r="AC28" s="2749"/>
      <c r="AD28" s="2749"/>
      <c r="AE28" s="2749"/>
      <c r="AF28" s="2749"/>
      <c r="AG28" s="2749"/>
      <c r="AH28" s="2749"/>
      <c r="AI28" s="2749"/>
      <c r="AJ28" s="2749"/>
      <c r="AK28" s="2749"/>
      <c r="AL28" s="2749"/>
      <c r="AM28" s="2749"/>
      <c r="AN28" s="2749"/>
      <c r="AO28" s="2749"/>
      <c r="AP28" s="2749"/>
      <c r="AQ28" s="2749"/>
      <c r="AR28" s="2749"/>
      <c r="AS28" s="2749"/>
      <c r="AT28" s="2749"/>
      <c r="AU28" s="2749"/>
      <c r="AV28" s="2749"/>
      <c r="AW28" s="2749"/>
      <c r="AX28" s="2749"/>
      <c r="AY28" s="2749"/>
      <c r="AZ28" s="2749"/>
      <c r="BA28" s="1161"/>
      <c r="BI28" s="1073">
        <v>14</v>
      </c>
    </row>
    <row r="29" spans="1:61" ht="14.65" customHeight="1">
      <c r="Q29" s="227"/>
      <c r="R29" s="311"/>
      <c r="S29" s="2696" t="str">
        <f>IF(org=0,"Не определено",org)</f>
        <v>ООО "Ноябрьская ПГЭ"</v>
      </c>
      <c r="T29" s="2696"/>
      <c r="U29" s="2696"/>
      <c r="V29" s="2696"/>
      <c r="W29" s="2696"/>
      <c r="X29" s="2696"/>
      <c r="Y29" s="2696"/>
      <c r="Z29" s="2696"/>
      <c r="AA29" s="2696"/>
      <c r="AB29" s="2696"/>
      <c r="AC29" s="2696"/>
      <c r="AD29" s="2696"/>
      <c r="AE29" s="2696"/>
      <c r="AF29" s="2696"/>
      <c r="AG29" s="2696"/>
      <c r="AH29" s="2696"/>
      <c r="AI29" s="2696"/>
      <c r="AJ29" s="2696"/>
      <c r="AK29" s="2696"/>
      <c r="AL29" s="2696"/>
      <c r="AM29" s="2696"/>
      <c r="AN29" s="2696"/>
      <c r="AO29" s="2696"/>
      <c r="AP29" s="2696"/>
      <c r="AQ29" s="2696"/>
      <c r="AR29" s="2696"/>
      <c r="AS29" s="2696"/>
      <c r="AT29" s="2696"/>
      <c r="AU29" s="2696"/>
      <c r="AV29" s="2696"/>
      <c r="AW29" s="2696"/>
      <c r="AX29" s="2696"/>
      <c r="AY29" s="2696"/>
      <c r="AZ29" s="2696"/>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529" customFormat="1" ht="25.5" hidden="1" customHeight="1">
      <c r="A31" s="1286"/>
      <c r="B31" s="1286"/>
      <c r="C31" s="1286"/>
      <c r="D31" s="1286"/>
      <c r="E31" s="1286"/>
      <c r="F31" s="1286"/>
      <c r="G31" s="1286"/>
      <c r="H31" s="1286"/>
      <c r="I31" s="1286"/>
      <c r="J31" s="1286"/>
      <c r="K31" s="1286"/>
      <c r="L31" s="1287"/>
      <c r="M31" s="1286"/>
      <c r="N31" s="1286"/>
      <c r="O31" s="1286"/>
      <c r="P31" s="1286"/>
      <c r="Q31" s="1286"/>
      <c r="S31" s="2772" t="s">
        <v>42</v>
      </c>
      <c r="T31" s="2772"/>
      <c r="U31" s="1290"/>
      <c r="V31" s="2754" t="str">
        <f>IF(TITLE_NAME_OR_PR_CHANGE="",IF(TITLE_NAME_OR_PR="","",TITLE_NAME_OR_PR),TITLE_NAME_OR_PR_CHANGE)</f>
        <v/>
      </c>
      <c r="W31" s="2754"/>
      <c r="X31" s="2754"/>
      <c r="Y31" s="2754"/>
      <c r="Z31" s="2754"/>
      <c r="AA31" s="2754"/>
      <c r="AB31" s="2754"/>
      <c r="AC31" s="262"/>
      <c r="AD31" s="2754" t="str">
        <f>IF(TITLE_NAME_OR_PR_CHANGE="",IF(TITLE_NAME_OR_PR="","",TITLE_NAME_OR_PR),TITLE_NAME_OR_PR_CHANGE)</f>
        <v/>
      </c>
      <c r="AE31" s="2754"/>
      <c r="AF31" s="2754"/>
      <c r="AG31" s="2754"/>
      <c r="AH31" s="2754"/>
      <c r="AI31" s="2754"/>
      <c r="AJ31" s="2754"/>
      <c r="AK31" s="2754"/>
      <c r="AL31" s="2754"/>
      <c r="AM31" s="2754"/>
      <c r="AN31" s="2754"/>
      <c r="AO31" s="2754"/>
      <c r="AP31" s="2754"/>
      <c r="AQ31" s="2754"/>
      <c r="AR31" s="2754"/>
      <c r="AS31" s="2754"/>
      <c r="AT31" s="2754"/>
      <c r="AU31" s="2754"/>
      <c r="AV31" s="2754"/>
      <c r="AW31" s="2754"/>
      <c r="AX31" s="2754"/>
      <c r="AY31" s="2754"/>
      <c r="AZ31" s="2754"/>
      <c r="BA31" s="262"/>
      <c r="BB31" s="262"/>
      <c r="BC31" s="216"/>
      <c r="BD31" s="303"/>
      <c r="BE31" s="303"/>
      <c r="BF31" s="303"/>
      <c r="BG31" s="303"/>
      <c r="BH31" s="303"/>
      <c r="BI31" s="353">
        <v>0</v>
      </c>
    </row>
    <row r="32" spans="1:61" s="2529" customFormat="1" ht="18.75" hidden="1" customHeight="1">
      <c r="A32" s="1286"/>
      <c r="B32" s="1286"/>
      <c r="C32" s="1286"/>
      <c r="D32" s="1286"/>
      <c r="E32" s="1286"/>
      <c r="F32" s="1286"/>
      <c r="G32" s="1286"/>
      <c r="H32" s="1286"/>
      <c r="I32" s="1286"/>
      <c r="J32" s="1286"/>
      <c r="K32" s="1286"/>
      <c r="L32" s="1287"/>
      <c r="M32" s="1286"/>
      <c r="N32" s="1286"/>
      <c r="O32" s="1286"/>
      <c r="P32" s="1286"/>
      <c r="Q32" s="1286"/>
      <c r="S32" s="2772" t="s">
        <v>422</v>
      </c>
      <c r="T32" s="2772"/>
      <c r="U32" s="1290"/>
      <c r="V32" s="2755">
        <f>IF(TITLE_DATE_PR_CHANGE="",IF(TITLE_DATE_PR="","",TITLE_DATE_PR),TITLE_DATE_PR_CHANGE)</f>
        <v>45583</v>
      </c>
      <c r="W32" s="2755"/>
      <c r="X32" s="2755"/>
      <c r="Y32" s="2755"/>
      <c r="Z32" s="2755"/>
      <c r="AA32" s="2755"/>
      <c r="AB32" s="2755"/>
      <c r="AC32" s="262"/>
      <c r="AD32" s="2755">
        <f>IF(TITLE_DATE_PR_CHANGE="",IF(TITLE_DATE_PR="","",TITLE_DATE_PR),TITLE_DATE_PR_CHANGE)</f>
        <v>45583</v>
      </c>
      <c r="AE32" s="2755"/>
      <c r="AF32" s="2755"/>
      <c r="AG32" s="2755"/>
      <c r="AH32" s="2755"/>
      <c r="AI32" s="2755"/>
      <c r="AJ32" s="2755"/>
      <c r="AK32" s="2755"/>
      <c r="AL32" s="2755"/>
      <c r="AM32" s="2755"/>
      <c r="AN32" s="2755"/>
      <c r="AO32" s="2755"/>
      <c r="AP32" s="2755"/>
      <c r="AQ32" s="2755"/>
      <c r="AR32" s="2755"/>
      <c r="AS32" s="2755"/>
      <c r="AT32" s="2755"/>
      <c r="AU32" s="2755"/>
      <c r="AV32" s="2755"/>
      <c r="AW32" s="2755"/>
      <c r="AX32" s="2755"/>
      <c r="AY32" s="2755"/>
      <c r="AZ32" s="2755"/>
      <c r="BA32" s="262"/>
      <c r="BB32" s="262"/>
      <c r="BC32" s="216"/>
      <c r="BD32" s="303"/>
      <c r="BE32" s="303"/>
      <c r="BF32" s="303"/>
      <c r="BG32" s="303"/>
      <c r="BH32" s="303"/>
      <c r="BI32" s="353">
        <v>0</v>
      </c>
    </row>
    <row r="33" spans="1:61" s="2529" customFormat="1" ht="18.75" hidden="1" customHeight="1">
      <c r="A33" s="1286"/>
      <c r="B33" s="1286"/>
      <c r="C33" s="1286"/>
      <c r="D33" s="1286"/>
      <c r="E33" s="1286"/>
      <c r="F33" s="1286"/>
      <c r="G33" s="1286"/>
      <c r="H33" s="1286"/>
      <c r="I33" s="1286"/>
      <c r="J33" s="1286"/>
      <c r="K33" s="1286"/>
      <c r="L33" s="1287"/>
      <c r="M33" s="1286"/>
      <c r="N33" s="1286"/>
      <c r="O33" s="1286"/>
      <c r="P33" s="1286"/>
      <c r="Q33" s="1286"/>
      <c r="S33" s="2772" t="s">
        <v>423</v>
      </c>
      <c r="T33" s="2772"/>
      <c r="U33" s="1290"/>
      <c r="V33" s="2754" t="str">
        <f>IF(TITLE_NUMBER_PR_CHANGE="",IF(TITLE_NUMBER_PR="","",TITLE_NUMBER_PR),TITLE_NUMBER_PR_CHANGE)</f>
        <v>18-3341</v>
      </c>
      <c r="W33" s="2754"/>
      <c r="X33" s="2754"/>
      <c r="Y33" s="2754"/>
      <c r="Z33" s="2754"/>
      <c r="AA33" s="2754"/>
      <c r="AB33" s="2754"/>
      <c r="AC33" s="262"/>
      <c r="AD33" s="2754" t="str">
        <f>IF(TITLE_NUMBER_PR_CHANGE="",IF(TITLE_NUMBER_PR="","",TITLE_NUMBER_PR),TITLE_NUMBER_PR_CHANGE)</f>
        <v>18-3341</v>
      </c>
      <c r="AE33" s="2754"/>
      <c r="AF33" s="2754"/>
      <c r="AG33" s="2754"/>
      <c r="AH33" s="2754"/>
      <c r="AI33" s="2754"/>
      <c r="AJ33" s="2754"/>
      <c r="AK33" s="2754"/>
      <c r="AL33" s="2754"/>
      <c r="AM33" s="2754"/>
      <c r="AN33" s="2754"/>
      <c r="AO33" s="2754"/>
      <c r="AP33" s="2754"/>
      <c r="AQ33" s="2754"/>
      <c r="AR33" s="2754"/>
      <c r="AS33" s="2754"/>
      <c r="AT33" s="2754"/>
      <c r="AU33" s="2754"/>
      <c r="AV33" s="2754"/>
      <c r="AW33" s="2754"/>
      <c r="AX33" s="2754"/>
      <c r="AY33" s="2754"/>
      <c r="AZ33" s="2754"/>
      <c r="BA33" s="262"/>
      <c r="BB33" s="262"/>
      <c r="BC33" s="216"/>
      <c r="BD33" s="303"/>
      <c r="BE33" s="303"/>
      <c r="BF33" s="303"/>
      <c r="BG33" s="303"/>
      <c r="BH33" s="303"/>
      <c r="BI33" s="353">
        <v>0</v>
      </c>
    </row>
    <row r="34" spans="1:61" s="2529" customFormat="1" ht="18.75" hidden="1" customHeight="1">
      <c r="A34" s="1286"/>
      <c r="B34" s="1286"/>
      <c r="C34" s="1286"/>
      <c r="D34" s="1286"/>
      <c r="E34" s="1286"/>
      <c r="F34" s="1286"/>
      <c r="G34" s="1286"/>
      <c r="H34" s="1286"/>
      <c r="I34" s="1286"/>
      <c r="J34" s="1286"/>
      <c r="K34" s="1286"/>
      <c r="L34" s="1287"/>
      <c r="M34" s="1286"/>
      <c r="N34" s="1286"/>
      <c r="O34" s="1286"/>
      <c r="P34" s="1286"/>
      <c r="Q34" s="1286"/>
      <c r="S34" s="2772" t="s">
        <v>43</v>
      </c>
      <c r="T34" s="2772"/>
      <c r="U34" s="1290"/>
      <c r="V34" s="2754" t="str">
        <f>IF(TITLE_IST_PUB_CHANGE="",IF(TITLE_IST_PUB="","",TITLE_IST_PUB),TITLE_IST_PUB_CHANGE)</f>
        <v/>
      </c>
      <c r="W34" s="2754"/>
      <c r="X34" s="2754"/>
      <c r="Y34" s="2754"/>
      <c r="Z34" s="2754"/>
      <c r="AA34" s="2754"/>
      <c r="AB34" s="2754"/>
      <c r="AC34" s="262"/>
      <c r="AD34" s="2754" t="str">
        <f>IF(TITLE_IST_PUB_CHANGE="",IF(TITLE_IST_PUB="","",TITLE_IST_PUB),TITLE_IST_PUB_CHANGE)</f>
        <v/>
      </c>
      <c r="AE34" s="2754"/>
      <c r="AF34" s="2754"/>
      <c r="AG34" s="2754"/>
      <c r="AH34" s="2754"/>
      <c r="AI34" s="2754"/>
      <c r="AJ34" s="2754"/>
      <c r="AK34" s="2754"/>
      <c r="AL34" s="2754"/>
      <c r="AM34" s="2754"/>
      <c r="AN34" s="2754"/>
      <c r="AO34" s="2754"/>
      <c r="AP34" s="2754"/>
      <c r="AQ34" s="2754"/>
      <c r="AR34" s="2754"/>
      <c r="AS34" s="2754"/>
      <c r="AT34" s="2754"/>
      <c r="AU34" s="2754"/>
      <c r="AV34" s="2754"/>
      <c r="AW34" s="2754"/>
      <c r="AX34" s="2754"/>
      <c r="AY34" s="2754"/>
      <c r="AZ34" s="2754"/>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529" customFormat="1" ht="18.75" customHeight="1">
      <c r="A36" s="1286"/>
      <c r="B36" s="1286"/>
      <c r="C36" s="1286"/>
      <c r="D36" s="1286"/>
      <c r="E36" s="1286"/>
      <c r="F36" s="1286"/>
      <c r="G36" s="1286"/>
      <c r="H36" s="1286"/>
      <c r="I36" s="1286"/>
      <c r="J36" s="1286"/>
      <c r="K36" s="1286"/>
      <c r="L36" s="1287"/>
      <c r="M36" s="1286"/>
      <c r="N36" s="1286"/>
      <c r="O36" s="1286"/>
      <c r="P36" s="1286"/>
      <c r="Q36" s="1286"/>
      <c r="S36" s="2772" t="s">
        <v>422</v>
      </c>
      <c r="T36" s="2772"/>
      <c r="U36" s="1290"/>
      <c r="V36" s="2755">
        <f>IF(TITLE_DATE_PR_CHANGE="",IF(TITLE_DATE_PR="","",TITLE_DATE_PR),TITLE_DATE_PR_CHANGE)</f>
        <v>45583</v>
      </c>
      <c r="W36" s="2755"/>
      <c r="X36" s="2755"/>
      <c r="Y36" s="2755"/>
      <c r="Z36" s="2755"/>
      <c r="AA36" s="2755"/>
      <c r="AB36" s="2755"/>
      <c r="AC36" s="262"/>
      <c r="AD36" s="2755">
        <f>IF(TITLE_DATE_PR_CHANGE="",IF(TITLE_DATE_PR="","",TITLE_DATE_PR),TITLE_DATE_PR_CHANGE)</f>
        <v>45583</v>
      </c>
      <c r="AE36" s="2755"/>
      <c r="AF36" s="2755"/>
      <c r="AG36" s="2755"/>
      <c r="AH36" s="2755"/>
      <c r="AI36" s="2755"/>
      <c r="AJ36" s="2755"/>
      <c r="AK36" s="2755"/>
      <c r="AL36" s="2755"/>
      <c r="AM36" s="2755"/>
      <c r="AN36" s="2755"/>
      <c r="AO36" s="2755"/>
      <c r="AP36" s="2755"/>
      <c r="AQ36" s="2755"/>
      <c r="AR36" s="2755"/>
      <c r="AS36" s="2755"/>
      <c r="AT36" s="2755"/>
      <c r="AU36" s="2755"/>
      <c r="AV36" s="2755"/>
      <c r="AW36" s="2755"/>
      <c r="AX36" s="2755"/>
      <c r="AY36" s="2755"/>
      <c r="AZ36" s="2755"/>
      <c r="BA36" s="262"/>
      <c r="BB36" s="262"/>
      <c r="BC36" s="216"/>
      <c r="BD36" s="303"/>
      <c r="BE36" s="303"/>
      <c r="BF36" s="303"/>
      <c r="BG36" s="303"/>
      <c r="BH36" s="303"/>
      <c r="BI36" s="353">
        <v>0</v>
      </c>
    </row>
    <row r="37" spans="1:61" s="2529" customFormat="1" ht="18.75" customHeight="1">
      <c r="A37" s="1286"/>
      <c r="B37" s="1286"/>
      <c r="C37" s="1286"/>
      <c r="D37" s="1286"/>
      <c r="E37" s="1286"/>
      <c r="F37" s="1286"/>
      <c r="G37" s="1286"/>
      <c r="H37" s="1286"/>
      <c r="I37" s="1286"/>
      <c r="J37" s="1286"/>
      <c r="K37" s="1286"/>
      <c r="L37" s="1287"/>
      <c r="M37" s="1286"/>
      <c r="N37" s="1286"/>
      <c r="O37" s="1286"/>
      <c r="P37" s="1286"/>
      <c r="Q37" s="1286"/>
      <c r="S37" s="2772" t="s">
        <v>423</v>
      </c>
      <c r="T37" s="2772"/>
      <c r="U37" s="1290"/>
      <c r="V37" s="2754" t="str">
        <f>IF(TITLE_NUMBER_PR_CHANGE="",IF(TITLE_NUMBER_PR="","",TITLE_NUMBER_PR),TITLE_NUMBER_PR_CHANGE)</f>
        <v>18-3341</v>
      </c>
      <c r="W37" s="2754"/>
      <c r="X37" s="2754"/>
      <c r="Y37" s="2754"/>
      <c r="Z37" s="2754"/>
      <c r="AA37" s="2754"/>
      <c r="AB37" s="2754"/>
      <c r="AC37" s="262"/>
      <c r="AD37" s="2754" t="str">
        <f>IF(TITLE_NUMBER_PR_CHANGE="",IF(TITLE_NUMBER_PR="","",TITLE_NUMBER_PR),TITLE_NUMBER_PR_CHANGE)</f>
        <v>18-3341</v>
      </c>
      <c r="AE37" s="2754"/>
      <c r="AF37" s="2754"/>
      <c r="AG37" s="2754"/>
      <c r="AH37" s="2754"/>
      <c r="AI37" s="2754"/>
      <c r="AJ37" s="2754"/>
      <c r="AK37" s="2754"/>
      <c r="AL37" s="2754"/>
      <c r="AM37" s="2754"/>
      <c r="AN37" s="2754"/>
      <c r="AO37" s="2754"/>
      <c r="AP37" s="2754"/>
      <c r="AQ37" s="2754"/>
      <c r="AR37" s="2754"/>
      <c r="AS37" s="2754"/>
      <c r="AT37" s="2754"/>
      <c r="AU37" s="2754"/>
      <c r="AV37" s="2754"/>
      <c r="AW37" s="2754"/>
      <c r="AX37" s="2754"/>
      <c r="AY37" s="2754"/>
      <c r="AZ37" s="2754"/>
      <c r="BA37" s="262"/>
      <c r="BB37" s="262"/>
      <c r="BC37" s="216"/>
      <c r="BD37" s="303"/>
      <c r="BE37" s="303"/>
      <c r="BF37" s="303"/>
      <c r="BG37" s="303"/>
      <c r="BH37" s="303"/>
      <c r="BI37" s="353">
        <v>0</v>
      </c>
    </row>
    <row r="38" spans="1:61" s="2529"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426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426</v>
      </c>
      <c r="BD38" s="303"/>
      <c r="BE38" s="303"/>
      <c r="BF38" s="303"/>
      <c r="BG38" s="303"/>
      <c r="BH38" s="303"/>
      <c r="BI38" s="353">
        <v>0</v>
      </c>
    </row>
    <row r="39" spans="1:61" ht="14.65" customHeight="1">
      <c r="Q39" s="227"/>
      <c r="R39" s="311"/>
      <c r="S39" s="1193"/>
      <c r="T39" s="298"/>
      <c r="U39" s="1162"/>
      <c r="V39" s="2756"/>
      <c r="W39" s="2756"/>
      <c r="X39" s="2756"/>
      <c r="Y39" s="2756"/>
      <c r="Z39" s="2756"/>
      <c r="AA39" s="2756"/>
      <c r="AB39" s="2756"/>
      <c r="AC39" s="2756"/>
      <c r="AD39" s="2756"/>
      <c r="AE39" s="2756"/>
      <c r="AF39" s="2756"/>
      <c r="AG39" s="2756"/>
      <c r="AH39" s="2756"/>
      <c r="AI39" s="2756"/>
      <c r="AJ39" s="2756"/>
      <c r="AK39" s="2756"/>
      <c r="AL39" s="2756"/>
      <c r="AM39" s="2756"/>
      <c r="AN39" s="2756"/>
      <c r="AO39" s="2756"/>
      <c r="AP39" s="2756"/>
      <c r="AQ39" s="2756"/>
      <c r="AR39" s="2756"/>
      <c r="AS39" s="2756"/>
      <c r="AT39" s="2756"/>
      <c r="AU39" s="2756"/>
      <c r="AV39" s="2756"/>
      <c r="AW39" s="2756"/>
      <c r="AX39" s="2756"/>
      <c r="AY39" s="2756"/>
      <c r="AZ39" s="2756"/>
      <c r="BA39" s="2756"/>
      <c r="BI39" s="1073">
        <v>14</v>
      </c>
    </row>
    <row r="40" spans="1:61" ht="14.65" customHeight="1">
      <c r="Q40" s="227"/>
      <c r="R40" s="311"/>
      <c r="S40" s="2638" t="s">
        <v>302</v>
      </c>
      <c r="T40" s="2638"/>
      <c r="U40" s="2638"/>
      <c r="V40" s="2638"/>
      <c r="W40" s="2638"/>
      <c r="X40" s="2638"/>
      <c r="Y40" s="2638"/>
      <c r="Z40" s="2638"/>
      <c r="AA40" s="2638"/>
      <c r="AB40" s="2638"/>
      <c r="AC40" s="2638"/>
      <c r="AD40" s="2638"/>
      <c r="AE40" s="2638"/>
      <c r="AF40" s="2638"/>
      <c r="AG40" s="2638"/>
      <c r="AH40" s="2638"/>
      <c r="AI40" s="2638"/>
      <c r="AJ40" s="2638"/>
      <c r="AK40" s="2638"/>
      <c r="AL40" s="2638"/>
      <c r="AM40" s="2638"/>
      <c r="AN40" s="2638"/>
      <c r="AO40" s="2638"/>
      <c r="AP40" s="2638"/>
      <c r="AQ40" s="2638"/>
      <c r="AR40" s="2638"/>
      <c r="AS40" s="2638"/>
      <c r="AT40" s="2638"/>
      <c r="AU40" s="2638"/>
      <c r="AV40" s="2638"/>
      <c r="AW40" s="2638"/>
      <c r="AX40" s="2638"/>
      <c r="AY40" s="2638"/>
      <c r="AZ40" s="2638"/>
      <c r="BA40" s="2638"/>
      <c r="BB40" s="2638"/>
      <c r="BC40" s="2638" t="s">
        <v>303</v>
      </c>
      <c r="BI40" s="1073">
        <v>14</v>
      </c>
    </row>
    <row r="41" spans="1:61" ht="14.65" customHeight="1">
      <c r="Q41" s="227"/>
      <c r="R41" s="311"/>
      <c r="S41" s="2782" t="s">
        <v>87</v>
      </c>
      <c r="T41" s="2724" t="s">
        <v>509</v>
      </c>
      <c r="U41" s="237"/>
      <c r="V41" s="2757" t="s">
        <v>429</v>
      </c>
      <c r="W41" s="2758"/>
      <c r="X41" s="2758"/>
      <c r="Y41" s="2758"/>
      <c r="Z41" s="2758"/>
      <c r="AA41" s="2758"/>
      <c r="AB41" s="2759"/>
      <c r="AC41" s="2760" t="s">
        <v>430</v>
      </c>
      <c r="AD41" s="2811" t="s">
        <v>510</v>
      </c>
      <c r="AE41" s="2792"/>
      <c r="AF41" s="2792"/>
      <c r="AG41" s="2812"/>
      <c r="AH41" s="2811" t="s">
        <v>511</v>
      </c>
      <c r="AI41" s="2792"/>
      <c r="AJ41" s="2792"/>
      <c r="AK41" s="2812"/>
      <c r="AL41" s="2811" t="s">
        <v>512</v>
      </c>
      <c r="AM41" s="2792"/>
      <c r="AN41" s="2792"/>
      <c r="AO41" s="2812"/>
      <c r="AP41" s="2811" t="s">
        <v>513</v>
      </c>
      <c r="AQ41" s="2792"/>
      <c r="AR41" s="2792"/>
      <c r="AS41" s="2812"/>
      <c r="AT41" s="2757" t="s">
        <v>429</v>
      </c>
      <c r="AU41" s="2758"/>
      <c r="AV41" s="2758"/>
      <c r="AW41" s="2758"/>
      <c r="AX41" s="2758"/>
      <c r="AY41" s="2758"/>
      <c r="AZ41" s="2759"/>
      <c r="BA41" s="2760" t="s">
        <v>430</v>
      </c>
      <c r="BB41" s="2783" t="s">
        <v>432</v>
      </c>
      <c r="BC41" s="2638"/>
      <c r="BI41" s="1073">
        <v>14</v>
      </c>
    </row>
    <row r="42" spans="1:61" ht="35.65" customHeight="1">
      <c r="Q42" s="227"/>
      <c r="R42" s="311"/>
      <c r="S42" s="2782"/>
      <c r="T42" s="2724"/>
      <c r="U42" s="953"/>
      <c r="V42" s="2710" t="s">
        <v>514</v>
      </c>
      <c r="W42" s="2711"/>
      <c r="X42" s="2710" t="s">
        <v>515</v>
      </c>
      <c r="Y42" s="2711"/>
      <c r="Z42" s="2710" t="s">
        <v>516</v>
      </c>
      <c r="AA42" s="2806"/>
      <c r="AB42" s="2711"/>
      <c r="AC42" s="2761"/>
      <c r="AD42" s="2813"/>
      <c r="AE42" s="2814"/>
      <c r="AF42" s="2814"/>
      <c r="AG42" s="2815"/>
      <c r="AH42" s="2813"/>
      <c r="AI42" s="2814"/>
      <c r="AJ42" s="2814"/>
      <c r="AK42" s="2815"/>
      <c r="AL42" s="2813"/>
      <c r="AM42" s="2814"/>
      <c r="AN42" s="2814"/>
      <c r="AO42" s="2815"/>
      <c r="AP42" s="2813"/>
      <c r="AQ42" s="2814"/>
      <c r="AR42" s="2814"/>
      <c r="AS42" s="2815"/>
      <c r="AT42" s="2710" t="s">
        <v>514</v>
      </c>
      <c r="AU42" s="2711"/>
      <c r="AV42" s="2710" t="s">
        <v>515</v>
      </c>
      <c r="AW42" s="2711"/>
      <c r="AX42" s="2710" t="s">
        <v>516</v>
      </c>
      <c r="AY42" s="2806"/>
      <c r="AZ42" s="2711"/>
      <c r="BA42" s="2761"/>
      <c r="BB42" s="2784"/>
      <c r="BC42" s="2638"/>
      <c r="BI42" s="1073">
        <v>34</v>
      </c>
    </row>
    <row r="43" spans="1:61" ht="14.65" customHeight="1">
      <c r="Q43" s="227"/>
      <c r="R43" s="311"/>
      <c r="S43" s="2782"/>
      <c r="T43" s="2724"/>
      <c r="U43" s="953"/>
      <c r="V43" s="2715"/>
      <c r="W43" s="2716"/>
      <c r="X43" s="2715"/>
      <c r="Y43" s="2716"/>
      <c r="Z43" s="2715"/>
      <c r="AA43" s="2807"/>
      <c r="AB43" s="2716"/>
      <c r="AC43" s="2761"/>
      <c r="AD43" s="2813"/>
      <c r="AE43" s="2814"/>
      <c r="AF43" s="2814"/>
      <c r="AG43" s="2815"/>
      <c r="AH43" s="2813"/>
      <c r="AI43" s="2814"/>
      <c r="AJ43" s="2814"/>
      <c r="AK43" s="2815"/>
      <c r="AL43" s="2813"/>
      <c r="AM43" s="2814"/>
      <c r="AN43" s="2814"/>
      <c r="AO43" s="2815"/>
      <c r="AP43" s="2813"/>
      <c r="AQ43" s="2814"/>
      <c r="AR43" s="2814"/>
      <c r="AS43" s="2815"/>
      <c r="AT43" s="2715"/>
      <c r="AU43" s="2716"/>
      <c r="AV43" s="2715"/>
      <c r="AW43" s="2716"/>
      <c r="AX43" s="2715"/>
      <c r="AY43" s="2807"/>
      <c r="AZ43" s="2716"/>
      <c r="BA43" s="2761"/>
      <c r="BB43" s="2784"/>
      <c r="BC43" s="2638"/>
      <c r="BI43" s="1073">
        <v>14</v>
      </c>
    </row>
    <row r="44" spans="1:61" ht="14.65" customHeight="1">
      <c r="A44" s="1288"/>
      <c r="B44" s="1288" t="s">
        <v>134</v>
      </c>
      <c r="C44" s="1288" t="s">
        <v>135</v>
      </c>
      <c r="D44" s="1288" t="s">
        <v>136</v>
      </c>
      <c r="E44" s="1282" t="s">
        <v>437</v>
      </c>
      <c r="F44" s="1282" t="s">
        <v>438</v>
      </c>
      <c r="G44" s="1282" t="s">
        <v>439</v>
      </c>
      <c r="H44" s="1282" t="s">
        <v>440</v>
      </c>
      <c r="I44" s="1282" t="s">
        <v>441</v>
      </c>
      <c r="J44" s="1282" t="s">
        <v>442</v>
      </c>
      <c r="K44" s="1282" t="s">
        <v>443</v>
      </c>
      <c r="L44" s="1282" t="s">
        <v>417</v>
      </c>
      <c r="Q44" s="227"/>
      <c r="R44" s="311"/>
      <c r="S44" s="2782"/>
      <c r="T44" s="2724"/>
      <c r="U44" s="238"/>
      <c r="V44" s="1366" t="s">
        <v>480</v>
      </c>
      <c r="W44" s="1366" t="s">
        <v>481</v>
      </c>
      <c r="X44" s="1366" t="s">
        <v>480</v>
      </c>
      <c r="Y44" s="1366" t="s">
        <v>481</v>
      </c>
      <c r="Z44" s="1373" t="s">
        <v>446</v>
      </c>
      <c r="AA44" s="2733" t="s">
        <v>447</v>
      </c>
      <c r="AB44" s="2735"/>
      <c r="AC44" s="2762"/>
      <c r="AD44" s="2816"/>
      <c r="AE44" s="2817"/>
      <c r="AF44" s="2817"/>
      <c r="AG44" s="2818"/>
      <c r="AH44" s="2816"/>
      <c r="AI44" s="2817"/>
      <c r="AJ44" s="2817"/>
      <c r="AK44" s="2818"/>
      <c r="AL44" s="2816"/>
      <c r="AM44" s="2817"/>
      <c r="AN44" s="2817"/>
      <c r="AO44" s="2818"/>
      <c r="AP44" s="2816"/>
      <c r="AQ44" s="2817"/>
      <c r="AR44" s="2817"/>
      <c r="AS44" s="2818"/>
      <c r="AT44" s="1366" t="s">
        <v>480</v>
      </c>
      <c r="AU44" s="1366" t="s">
        <v>481</v>
      </c>
      <c r="AV44" s="1366" t="s">
        <v>480</v>
      </c>
      <c r="AW44" s="1366" t="s">
        <v>481</v>
      </c>
      <c r="AX44" s="1373" t="s">
        <v>446</v>
      </c>
      <c r="AY44" s="2733" t="s">
        <v>447</v>
      </c>
      <c r="AZ44" s="2735"/>
      <c r="BA44" s="2762"/>
      <c r="BB44" s="2785"/>
      <c r="BC44" s="2638"/>
      <c r="BI44" s="1073">
        <v>14</v>
      </c>
    </row>
    <row r="45" spans="1:61" s="2544"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108</v>
      </c>
      <c r="T45" s="1173" t="s">
        <v>109</v>
      </c>
      <c r="U45" s="1163" t="str">
        <f ca="1">OFFSET(U45,0,-1)</f>
        <v>2</v>
      </c>
      <c r="V45" s="1369">
        <f t="shared" ref="V45:AA45" ca="1" si="2">OFFSET(V45,0,-1)+1</f>
        <v>3</v>
      </c>
      <c r="W45" s="1369">
        <f t="shared" ca="1" si="2"/>
        <v>4</v>
      </c>
      <c r="X45" s="1369">
        <f t="shared" ca="1" si="2"/>
        <v>5</v>
      </c>
      <c r="Y45" s="1369">
        <f t="shared" ca="1" si="2"/>
        <v>6</v>
      </c>
      <c r="Z45" s="1369">
        <f t="shared" ca="1" si="2"/>
        <v>7</v>
      </c>
      <c r="AA45" s="2765">
        <f t="shared" ca="1" si="2"/>
        <v>8</v>
      </c>
      <c r="AB45" s="2765"/>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765">
        <f ca="1">OFFSET(AY45,0,-1)+1</f>
        <v>3</v>
      </c>
      <c r="AZ45" s="2765"/>
      <c r="BA45" s="1369">
        <f ca="1">OFFSET(BA45,0,-2)+1</f>
        <v>4</v>
      </c>
      <c r="BB45" s="1163">
        <f ca="1">OFFSET(BB45,0,-1)</f>
        <v>4</v>
      </c>
      <c r="BC45" s="1369">
        <f ca="1">OFFSET(BC45,0,-1)+1</f>
        <v>5</v>
      </c>
      <c r="BD45" s="446"/>
      <c r="BE45" s="446"/>
      <c r="BF45" s="446"/>
      <c r="BG45" s="446"/>
      <c r="BH45" s="446"/>
      <c r="BI45" s="431">
        <v>0</v>
      </c>
    </row>
    <row r="46" spans="1:61" ht="21.95" customHeight="1">
      <c r="A46" s="1281" t="s">
        <v>248</v>
      </c>
      <c r="B46" s="1281"/>
      <c r="C46" s="1281"/>
      <c r="D46" s="1281"/>
      <c r="E46" s="2778">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122</v>
      </c>
      <c r="U46" s="236"/>
      <c r="V46" s="2767"/>
      <c r="W46" s="2767"/>
      <c r="X46" s="2767"/>
      <c r="Y46" s="2767"/>
      <c r="Z46" s="2767"/>
      <c r="AA46" s="2767"/>
      <c r="AB46" s="2767"/>
      <c r="AC46" s="2768"/>
      <c r="AD46" s="2766" t="str">
        <f>INDEX(PT_DIFFERENTIATION_NTAR,MATCH(A46,PT_DIFFERENTIATION_NTAR_ID,0))</f>
        <v/>
      </c>
      <c r="AE46" s="2767"/>
      <c r="AF46" s="2767"/>
      <c r="AG46" s="2767"/>
      <c r="AH46" s="2767"/>
      <c r="AI46" s="2767"/>
      <c r="AJ46" s="2767"/>
      <c r="AK46" s="2767"/>
      <c r="AL46" s="2767"/>
      <c r="AM46" s="2767"/>
      <c r="AN46" s="2767"/>
      <c r="AO46" s="2767"/>
      <c r="AP46" s="2767"/>
      <c r="AQ46" s="2767"/>
      <c r="AR46" s="2767"/>
      <c r="AS46" s="2767"/>
      <c r="AT46" s="2767"/>
      <c r="AU46" s="2767"/>
      <c r="AV46" s="2767"/>
      <c r="AW46" s="2767"/>
      <c r="AX46" s="2767"/>
      <c r="AY46" s="2767"/>
      <c r="AZ46" s="2767"/>
      <c r="BA46" s="2767"/>
      <c r="BB46" s="276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248</v>
      </c>
      <c r="B47" s="1281" t="s">
        <v>249</v>
      </c>
      <c r="C47" s="1281"/>
      <c r="D47" s="1281"/>
      <c r="E47" s="2779"/>
      <c r="F47" s="2778">
        <v>1</v>
      </c>
      <c r="G47" s="1281"/>
      <c r="H47" s="1281"/>
      <c r="I47" s="1281"/>
      <c r="J47" s="1281"/>
      <c r="K47" s="1281"/>
      <c r="L47" s="1282"/>
      <c r="M47" s="1283"/>
      <c r="N47" s="1283"/>
      <c r="O47" s="1283"/>
      <c r="P47" s="1328"/>
      <c r="Q47" s="1329"/>
      <c r="R47" s="288"/>
      <c r="S47" s="1375" t="str">
        <f>INDEX(PT_DIFFERENTIATION_NUM_TER,MATCH(B47,PT_DIFFERENTIATION_TER_ID,0))</f>
        <v>.</v>
      </c>
      <c r="T47" s="244" t="s">
        <v>399</v>
      </c>
      <c r="U47" s="236"/>
      <c r="V47" s="2767"/>
      <c r="W47" s="2767"/>
      <c r="X47" s="2767"/>
      <c r="Y47" s="2767"/>
      <c r="Z47" s="2767"/>
      <c r="AA47" s="2767"/>
      <c r="AB47" s="2767"/>
      <c r="AC47" s="2768"/>
      <c r="AD47" s="2766" t="str">
        <f>INDEX(PT_DIFFERENTIATION_TER,MATCH(B47,PT_DIFFERENTIATION_TER_ID,0))</f>
        <v/>
      </c>
      <c r="AE47" s="2767"/>
      <c r="AF47" s="2767"/>
      <c r="AG47" s="2767"/>
      <c r="AH47" s="2767"/>
      <c r="AI47" s="2767"/>
      <c r="AJ47" s="2767"/>
      <c r="AK47" s="2767"/>
      <c r="AL47" s="2767"/>
      <c r="AM47" s="2767"/>
      <c r="AN47" s="2767"/>
      <c r="AO47" s="2767"/>
      <c r="AP47" s="2767"/>
      <c r="AQ47" s="2767"/>
      <c r="AR47" s="2767"/>
      <c r="AS47" s="2767"/>
      <c r="AT47" s="2767"/>
      <c r="AU47" s="2767"/>
      <c r="AV47" s="2767"/>
      <c r="AW47" s="2767"/>
      <c r="AX47" s="2767"/>
      <c r="AY47" s="2767"/>
      <c r="AZ47" s="2767"/>
      <c r="BA47" s="2767"/>
      <c r="BB47" s="2768"/>
      <c r="BC47" s="1176" t="s">
        <v>400</v>
      </c>
      <c r="BE47" s="435"/>
      <c r="BF47" s="435" t="str">
        <f t="shared" si="3"/>
        <v>Территория действия тарифа</v>
      </c>
      <c r="BG47" s="435"/>
      <c r="BH47" s="435"/>
      <c r="BI47" s="1073">
        <v>21</v>
      </c>
    </row>
    <row r="48" spans="1:61" ht="43.15" customHeight="1">
      <c r="A48" s="1281" t="s">
        <v>248</v>
      </c>
      <c r="B48" s="1281" t="s">
        <v>249</v>
      </c>
      <c r="C48" s="1281" t="s">
        <v>250</v>
      </c>
      <c r="D48" s="1281"/>
      <c r="E48" s="2779"/>
      <c r="F48" s="2779"/>
      <c r="G48" s="2778">
        <v>1</v>
      </c>
      <c r="H48" s="1281"/>
      <c r="I48" s="1281"/>
      <c r="J48" s="1281"/>
      <c r="K48" s="1281"/>
      <c r="L48" s="1282"/>
      <c r="M48" s="1283"/>
      <c r="N48" s="1283"/>
      <c r="O48" s="1283"/>
      <c r="P48" s="1330"/>
      <c r="Q48" s="1329"/>
      <c r="R48" s="288"/>
      <c r="S48" s="1375" t="str">
        <f>INDEX(PT_DIFFERENTIATION_NUM_CS,MATCH(C48,PT_DIFFERENTIATION_CS_ID,0))</f>
        <v>..</v>
      </c>
      <c r="T48" s="245" t="s">
        <v>483</v>
      </c>
      <c r="U48" s="236"/>
      <c r="V48" s="2767"/>
      <c r="W48" s="2767"/>
      <c r="X48" s="2767"/>
      <c r="Y48" s="2767"/>
      <c r="Z48" s="2767"/>
      <c r="AA48" s="2767"/>
      <c r="AB48" s="2767"/>
      <c r="AC48" s="2768"/>
      <c r="AD48" s="2766" t="str">
        <f>INDEX(PT_DIFFERENTIATION_CS,MATCH(C48,PT_DIFFERENTIATION_CS_ID,0))</f>
        <v/>
      </c>
      <c r="AE48" s="2767"/>
      <c r="AF48" s="2767"/>
      <c r="AG48" s="2767"/>
      <c r="AH48" s="2767"/>
      <c r="AI48" s="2767"/>
      <c r="AJ48" s="2767"/>
      <c r="AK48" s="2767"/>
      <c r="AL48" s="2767"/>
      <c r="AM48" s="2767"/>
      <c r="AN48" s="2767"/>
      <c r="AO48" s="2767"/>
      <c r="AP48" s="2767"/>
      <c r="AQ48" s="2767"/>
      <c r="AR48" s="2767"/>
      <c r="AS48" s="2767"/>
      <c r="AT48" s="2767"/>
      <c r="AU48" s="2767"/>
      <c r="AV48" s="2767"/>
      <c r="AW48" s="2767"/>
      <c r="AX48" s="2767"/>
      <c r="AY48" s="2767"/>
      <c r="AZ48" s="2767"/>
      <c r="BA48" s="2767"/>
      <c r="BB48" s="2768"/>
      <c r="BC48" s="1176" t="s">
        <v>484</v>
      </c>
      <c r="BE48" s="435"/>
      <c r="BF48" s="435" t="str">
        <f t="shared" si="3"/>
        <v>Наименование централизованной системы холодного водоснабжения</v>
      </c>
      <c r="BG48" s="435"/>
      <c r="BH48" s="435"/>
      <c r="BI48" s="1073">
        <v>41</v>
      </c>
    </row>
    <row r="49" spans="1:61" s="2520" customFormat="1" ht="0" hidden="1" customHeight="1">
      <c r="A49" s="1261" t="s">
        <v>248</v>
      </c>
      <c r="B49" s="1261" t="s">
        <v>249</v>
      </c>
      <c r="C49" s="1261" t="s">
        <v>250</v>
      </c>
      <c r="D49" s="1261" t="s">
        <v>517</v>
      </c>
      <c r="E49" s="2779"/>
      <c r="F49" s="2779"/>
      <c r="G49" s="2779"/>
      <c r="H49" s="2778">
        <v>1</v>
      </c>
      <c r="I49" s="1261"/>
      <c r="J49" s="1261"/>
      <c r="K49" s="1261"/>
      <c r="L49" s="1264"/>
      <c r="M49" s="1233"/>
      <c r="N49" s="1233"/>
      <c r="O49" s="1233"/>
      <c r="P49" s="1415"/>
      <c r="Q49" s="1416"/>
      <c r="R49" s="292"/>
      <c r="S49" s="964"/>
      <c r="T49" s="1417"/>
      <c r="U49" s="1302"/>
      <c r="V49" s="2796"/>
      <c r="W49" s="2796"/>
      <c r="X49" s="2796"/>
      <c r="Y49" s="2796"/>
      <c r="Z49" s="2796"/>
      <c r="AA49" s="2796"/>
      <c r="AB49" s="2796"/>
      <c r="AC49" s="2797"/>
      <c r="AD49" s="2795"/>
      <c r="AE49" s="2796"/>
      <c r="AF49" s="2796"/>
      <c r="AG49" s="2796"/>
      <c r="AH49" s="2796"/>
      <c r="AI49" s="2796"/>
      <c r="AJ49" s="2796"/>
      <c r="AK49" s="2796"/>
      <c r="AL49" s="2796"/>
      <c r="AM49" s="2796"/>
      <c r="AN49" s="2796"/>
      <c r="AO49" s="2796"/>
      <c r="AP49" s="2796"/>
      <c r="AQ49" s="2796"/>
      <c r="AR49" s="2796"/>
      <c r="AS49" s="2796"/>
      <c r="AT49" s="2796"/>
      <c r="AU49" s="2796"/>
      <c r="AV49" s="2796"/>
      <c r="AW49" s="2796"/>
      <c r="AX49" s="2796"/>
      <c r="AY49" s="2796"/>
      <c r="AZ49" s="2796"/>
      <c r="BA49" s="2796"/>
      <c r="BB49" s="2797"/>
      <c r="BC49" s="1303" t="s">
        <v>404</v>
      </c>
      <c r="BE49" s="435"/>
      <c r="BF49" s="435" t="str">
        <f t="shared" si="3"/>
        <v/>
      </c>
      <c r="BG49" s="435"/>
      <c r="BH49" s="435"/>
      <c r="BI49" s="446">
        <v>0</v>
      </c>
    </row>
    <row r="50" spans="1:61" s="2520" customFormat="1" ht="0" hidden="1" customHeight="1">
      <c r="A50" s="1261" t="s">
        <v>248</v>
      </c>
      <c r="B50" s="1261" t="s">
        <v>249</v>
      </c>
      <c r="C50" s="1261" t="s">
        <v>250</v>
      </c>
      <c r="D50" s="1261" t="s">
        <v>517</v>
      </c>
      <c r="E50" s="2779"/>
      <c r="F50" s="2779"/>
      <c r="G50" s="2779"/>
      <c r="H50" s="2779"/>
      <c r="I50" s="2776" t="str">
        <f>S49&amp;".1"</f>
        <v>.1</v>
      </c>
      <c r="J50" s="1261"/>
      <c r="K50" s="1261"/>
      <c r="L50" s="1264" t="s">
        <v>405</v>
      </c>
      <c r="M50" s="445"/>
      <c r="N50" s="445"/>
      <c r="O50" s="445"/>
      <c r="P50" s="2777">
        <v>1</v>
      </c>
      <c r="Q50" s="1380"/>
      <c r="R50" s="291"/>
      <c r="S50" s="964"/>
      <c r="T50" s="1301"/>
      <c r="U50" s="1302"/>
      <c r="V50" s="2796"/>
      <c r="W50" s="2796"/>
      <c r="X50" s="2796"/>
      <c r="Y50" s="2796"/>
      <c r="Z50" s="2796"/>
      <c r="AA50" s="2796"/>
      <c r="AB50" s="2796"/>
      <c r="AC50" s="2797"/>
      <c r="AD50" s="2795"/>
      <c r="AE50" s="2796"/>
      <c r="AF50" s="2796"/>
      <c r="AG50" s="2796"/>
      <c r="AH50" s="2796"/>
      <c r="AI50" s="2796"/>
      <c r="AJ50" s="2796"/>
      <c r="AK50" s="2796"/>
      <c r="AL50" s="2796"/>
      <c r="AM50" s="2796"/>
      <c r="AN50" s="2796"/>
      <c r="AO50" s="2796"/>
      <c r="AP50" s="2796"/>
      <c r="AQ50" s="2796"/>
      <c r="AR50" s="2796"/>
      <c r="AS50" s="2796"/>
      <c r="AT50" s="2796"/>
      <c r="AU50" s="2796"/>
      <c r="AV50" s="2796"/>
      <c r="AW50" s="2796"/>
      <c r="AX50" s="2796"/>
      <c r="AY50" s="2796"/>
      <c r="AZ50" s="2796"/>
      <c r="BA50" s="2796"/>
      <c r="BB50" s="2797"/>
      <c r="BC50" s="1303"/>
      <c r="BE50" s="435"/>
      <c r="BF50" s="435" t="str">
        <f t="shared" si="3"/>
        <v/>
      </c>
      <c r="BG50" s="435"/>
      <c r="BH50" s="435"/>
      <c r="BI50" s="446">
        <v>0</v>
      </c>
    </row>
    <row r="51" spans="1:61" s="2520" customFormat="1" ht="0" hidden="1" customHeight="1">
      <c r="A51" s="1261" t="s">
        <v>248</v>
      </c>
      <c r="B51" s="1261" t="s">
        <v>249</v>
      </c>
      <c r="C51" s="1261" t="s">
        <v>250</v>
      </c>
      <c r="D51" s="1261" t="s">
        <v>517</v>
      </c>
      <c r="E51" s="2779"/>
      <c r="F51" s="2779"/>
      <c r="G51" s="2779"/>
      <c r="H51" s="2779"/>
      <c r="I51" s="2787"/>
      <c r="J51" s="2776" t="str">
        <f>S49&amp;".1"</f>
        <v>.1</v>
      </c>
      <c r="K51" s="1261"/>
      <c r="L51" s="1264"/>
      <c r="M51" s="445"/>
      <c r="N51" s="445"/>
      <c r="O51" s="445"/>
      <c r="P51" s="2777"/>
      <c r="Q51" s="2777">
        <v>1</v>
      </c>
      <c r="R51" s="292"/>
      <c r="S51" s="964"/>
      <c r="T51" s="1317"/>
      <c r="U51" s="1302"/>
      <c r="V51" s="2796"/>
      <c r="W51" s="2796"/>
      <c r="X51" s="2796"/>
      <c r="Y51" s="2796"/>
      <c r="Z51" s="2796"/>
      <c r="AA51" s="2796"/>
      <c r="AB51" s="2796"/>
      <c r="AC51" s="2797"/>
      <c r="AD51" s="2795"/>
      <c r="AE51" s="2796"/>
      <c r="AF51" s="2796"/>
      <c r="AG51" s="2796"/>
      <c r="AH51" s="2796"/>
      <c r="AI51" s="2796"/>
      <c r="AJ51" s="2796"/>
      <c r="AK51" s="2796"/>
      <c r="AL51" s="2796"/>
      <c r="AM51" s="2796"/>
      <c r="AN51" s="2847"/>
      <c r="AO51" s="2847"/>
      <c r="AP51" s="2796"/>
      <c r="AQ51" s="2796"/>
      <c r="AR51" s="2796"/>
      <c r="AS51" s="2796"/>
      <c r="AT51" s="2796"/>
      <c r="AU51" s="2796"/>
      <c r="AV51" s="2796"/>
      <c r="AW51" s="2796"/>
      <c r="AX51" s="2796"/>
      <c r="AY51" s="2796"/>
      <c r="AZ51" s="2796"/>
      <c r="BA51" s="2796"/>
      <c r="BB51" s="2797"/>
      <c r="BC51" s="1303"/>
      <c r="BE51" s="435"/>
      <c r="BF51" s="435" t="str">
        <f t="shared" si="3"/>
        <v/>
      </c>
      <c r="BG51" s="435"/>
      <c r="BH51" s="435"/>
      <c r="BI51" s="446">
        <v>0</v>
      </c>
    </row>
    <row r="52" spans="1:61" ht="11.45" customHeight="1">
      <c r="A52" s="1281" t="s">
        <v>248</v>
      </c>
      <c r="B52" s="1281" t="s">
        <v>249</v>
      </c>
      <c r="C52" s="1281" t="s">
        <v>250</v>
      </c>
      <c r="D52" s="1281" t="s">
        <v>517</v>
      </c>
      <c r="E52" s="2779"/>
      <c r="F52" s="2779"/>
      <c r="G52" s="2779"/>
      <c r="H52" s="2779"/>
      <c r="I52" s="2787"/>
      <c r="J52" s="2787"/>
      <c r="K52" s="2776" t="str">
        <f>S48&amp;".1"</f>
        <v>...1</v>
      </c>
      <c r="L52" s="1282"/>
      <c r="P52" s="2777"/>
      <c r="Q52" s="2777"/>
      <c r="R52" s="292">
        <v>1</v>
      </c>
      <c r="S52" s="2824" t="str">
        <f>$K52</f>
        <v>...1</v>
      </c>
      <c r="T52" s="2843"/>
      <c r="U52" s="236"/>
      <c r="V52" s="686"/>
      <c r="W52" s="1175"/>
      <c r="X52" s="686"/>
      <c r="Y52" s="1175"/>
      <c r="Z52" s="1651"/>
      <c r="AA52" s="1377" t="s">
        <v>66</v>
      </c>
      <c r="AB52" s="1651"/>
      <c r="AC52" s="1377" t="s">
        <v>66</v>
      </c>
      <c r="AD52" s="2647" t="s">
        <v>66</v>
      </c>
      <c r="AE52" s="2809"/>
      <c r="AF52" s="2720">
        <v>1</v>
      </c>
      <c r="AG52" s="2846"/>
      <c r="AH52" s="2619" t="s">
        <v>66</v>
      </c>
      <c r="AI52" s="2809"/>
      <c r="AJ52" s="2720">
        <v>1</v>
      </c>
      <c r="AK52" s="2810" t="s">
        <v>28</v>
      </c>
      <c r="AL52" s="2619" t="s">
        <v>66</v>
      </c>
      <c r="AM52" s="2710"/>
      <c r="AN52" s="2720">
        <v>1</v>
      </c>
      <c r="AO52" s="2840"/>
      <c r="AP52" s="2841" t="s">
        <v>66</v>
      </c>
      <c r="AQ52" s="247"/>
      <c r="AR52" s="1381">
        <v>1</v>
      </c>
      <c r="AS52" s="1384" t="s">
        <v>28</v>
      </c>
      <c r="AT52" s="686"/>
      <c r="AU52" s="1175"/>
      <c r="AV52" s="686"/>
      <c r="AW52" s="1175"/>
      <c r="AX52" s="1651"/>
      <c r="AY52" s="1377" t="s">
        <v>66</v>
      </c>
      <c r="AZ52" s="1651"/>
      <c r="BA52" s="1377" t="s">
        <v>66</v>
      </c>
      <c r="BB52" s="1266"/>
      <c r="BC52" s="2773" t="s">
        <v>503</v>
      </c>
      <c r="BE52" s="435"/>
      <c r="BF52" s="435" t="str">
        <f t="shared" si="3"/>
        <v/>
      </c>
      <c r="BG52" s="435"/>
      <c r="BH52" s="435"/>
      <c r="BI52" s="1073">
        <v>11</v>
      </c>
    </row>
    <row r="53" spans="1:61" ht="11.45" customHeight="1">
      <c r="A53" s="1281"/>
      <c r="B53" s="1281"/>
      <c r="C53" s="1281"/>
      <c r="D53" s="1281"/>
      <c r="E53" s="2779"/>
      <c r="F53" s="2779"/>
      <c r="G53" s="2779"/>
      <c r="H53" s="2779"/>
      <c r="I53" s="2787"/>
      <c r="J53" s="2787"/>
      <c r="K53" s="2776"/>
      <c r="L53" s="1282"/>
      <c r="P53" s="2777"/>
      <c r="Q53" s="2777"/>
      <c r="R53" s="292"/>
      <c r="S53" s="2825"/>
      <c r="T53" s="2844"/>
      <c r="U53" s="236"/>
      <c r="V53" s="1311"/>
      <c r="W53" s="1414"/>
      <c r="X53" s="1311"/>
      <c r="Y53" s="1414"/>
      <c r="Z53" s="1311"/>
      <c r="AA53" s="1311"/>
      <c r="AB53" s="1311"/>
      <c r="AC53" s="1311"/>
      <c r="AD53" s="2648"/>
      <c r="AE53" s="2809"/>
      <c r="AF53" s="2720"/>
      <c r="AG53" s="2846"/>
      <c r="AH53" s="2619"/>
      <c r="AI53" s="2809"/>
      <c r="AJ53" s="2720"/>
      <c r="AK53" s="2810"/>
      <c r="AL53" s="2619"/>
      <c r="AM53" s="2715"/>
      <c r="AN53" s="2720"/>
      <c r="AO53" s="2840"/>
      <c r="AP53" s="2842"/>
      <c r="AQ53" s="252"/>
      <c r="AR53" s="351"/>
      <c r="AS53" s="351" t="s">
        <v>504</v>
      </c>
      <c r="AT53" s="1311"/>
      <c r="AU53" s="1414"/>
      <c r="AV53" s="1311"/>
      <c r="AW53" s="1414"/>
      <c r="AX53" s="1311"/>
      <c r="AY53" s="1311"/>
      <c r="AZ53" s="1311"/>
      <c r="BA53" s="1311"/>
      <c r="BB53" s="1315"/>
      <c r="BC53" s="2774"/>
      <c r="BE53" s="435"/>
      <c r="BF53" s="435"/>
      <c r="BG53" s="435"/>
      <c r="BH53" s="435"/>
      <c r="BI53" s="1073">
        <v>11</v>
      </c>
    </row>
    <row r="54" spans="1:61" ht="11.45" customHeight="1">
      <c r="A54" s="1281" t="s">
        <v>248</v>
      </c>
      <c r="B54" s="1281"/>
      <c r="C54" s="1281"/>
      <c r="D54" s="1281"/>
      <c r="E54" s="2779"/>
      <c r="F54" s="2779"/>
      <c r="G54" s="2779"/>
      <c r="H54" s="2779"/>
      <c r="I54" s="2787"/>
      <c r="J54" s="2787"/>
      <c r="K54" s="2776"/>
      <c r="L54" s="1282"/>
      <c r="P54" s="2777"/>
      <c r="Q54" s="2777"/>
      <c r="R54" s="292"/>
      <c r="S54" s="2825"/>
      <c r="T54" s="2844"/>
      <c r="U54" s="236"/>
      <c r="V54" s="1311"/>
      <c r="W54" s="1414"/>
      <c r="X54" s="1311"/>
      <c r="Y54" s="1414"/>
      <c r="Z54" s="1311"/>
      <c r="AA54" s="1311"/>
      <c r="AB54" s="1311"/>
      <c r="AC54" s="1311"/>
      <c r="AD54" s="2648"/>
      <c r="AE54" s="2809"/>
      <c r="AF54" s="2720"/>
      <c r="AG54" s="2846"/>
      <c r="AH54" s="2619"/>
      <c r="AI54" s="2809"/>
      <c r="AJ54" s="2720"/>
      <c r="AK54" s="2810"/>
      <c r="AL54" s="2619"/>
      <c r="AM54" s="252"/>
      <c r="AN54" s="1418"/>
      <c r="AO54" s="1418" t="s">
        <v>505</v>
      </c>
      <c r="AP54" s="351"/>
      <c r="AQ54" s="351"/>
      <c r="AR54" s="351"/>
      <c r="AS54" s="1311"/>
      <c r="AT54" s="1311"/>
      <c r="AU54" s="1414"/>
      <c r="AV54" s="1311"/>
      <c r="AW54" s="1414"/>
      <c r="AX54" s="1311"/>
      <c r="AY54" s="1311"/>
      <c r="AZ54" s="1311"/>
      <c r="BA54" s="1311"/>
      <c r="BB54" s="1315"/>
      <c r="BC54" s="2774"/>
      <c r="BE54" s="435"/>
      <c r="BF54" s="435"/>
      <c r="BG54" s="435"/>
      <c r="BH54" s="435"/>
      <c r="BI54" s="1073">
        <v>11</v>
      </c>
    </row>
    <row r="55" spans="1:61" ht="11.45" customHeight="1">
      <c r="A55" s="1281" t="s">
        <v>248</v>
      </c>
      <c r="B55" s="1281"/>
      <c r="C55" s="1281"/>
      <c r="D55" s="1281"/>
      <c r="E55" s="2779"/>
      <c r="F55" s="2779"/>
      <c r="G55" s="2779"/>
      <c r="H55" s="2779"/>
      <c r="I55" s="2787"/>
      <c r="J55" s="2787"/>
      <c r="K55" s="2776"/>
      <c r="L55" s="1282"/>
      <c r="P55" s="2777"/>
      <c r="Q55" s="2777"/>
      <c r="R55" s="292"/>
      <c r="S55" s="2825"/>
      <c r="T55" s="2844"/>
      <c r="U55" s="236"/>
      <c r="V55" s="1311"/>
      <c r="W55" s="1414"/>
      <c r="X55" s="1311"/>
      <c r="Y55" s="1414"/>
      <c r="Z55" s="1311"/>
      <c r="AA55" s="1311"/>
      <c r="AB55" s="1311"/>
      <c r="AC55" s="1311"/>
      <c r="AD55" s="2648"/>
      <c r="AE55" s="2809"/>
      <c r="AF55" s="2720"/>
      <c r="AG55" s="2846"/>
      <c r="AH55" s="2619"/>
      <c r="AI55" s="230"/>
      <c r="AJ55" s="350"/>
      <c r="AK55" s="249" t="s">
        <v>506</v>
      </c>
      <c r="AL55" s="1311"/>
      <c r="AM55" s="1311"/>
      <c r="AN55" s="1311"/>
      <c r="AO55" s="1311"/>
      <c r="AP55" s="1311"/>
      <c r="AQ55" s="1311"/>
      <c r="AR55" s="1311"/>
      <c r="AS55" s="1311"/>
      <c r="AT55" s="1311"/>
      <c r="AU55" s="1414"/>
      <c r="AV55" s="1311"/>
      <c r="AW55" s="1414"/>
      <c r="AX55" s="1311"/>
      <c r="AY55" s="1311"/>
      <c r="AZ55" s="1311"/>
      <c r="BA55" s="1311"/>
      <c r="BB55" s="1315"/>
      <c r="BC55" s="2774"/>
      <c r="BE55" s="435"/>
      <c r="BF55" s="435"/>
      <c r="BG55" s="435"/>
      <c r="BH55" s="435"/>
      <c r="BI55" s="1073">
        <v>11</v>
      </c>
    </row>
    <row r="56" spans="1:61" ht="11.45" customHeight="1">
      <c r="A56" s="1281" t="s">
        <v>248</v>
      </c>
      <c r="B56" s="1281" t="s">
        <v>249</v>
      </c>
      <c r="C56" s="1281" t="s">
        <v>250</v>
      </c>
      <c r="D56" s="1281" t="s">
        <v>517</v>
      </c>
      <c r="E56" s="2779"/>
      <c r="F56" s="2779"/>
      <c r="G56" s="2779"/>
      <c r="H56" s="2779"/>
      <c r="I56" s="2787"/>
      <c r="J56" s="2787"/>
      <c r="K56" s="2776"/>
      <c r="L56" s="1282"/>
      <c r="P56" s="2777"/>
      <c r="Q56" s="2777"/>
      <c r="R56" s="292"/>
      <c r="S56" s="2826"/>
      <c r="T56" s="2845"/>
      <c r="U56" s="236"/>
      <c r="V56" s="1311"/>
      <c r="W56" s="1312" t="str">
        <f>Z52&amp;"-"&amp;AB52</f>
        <v>-</v>
      </c>
      <c r="X56" s="1311"/>
      <c r="Y56" s="1312" t="str">
        <f>AB52&amp;"-"&amp;AD52</f>
        <v>-да</v>
      </c>
      <c r="Z56" s="1311"/>
      <c r="AA56" s="1311"/>
      <c r="AB56" s="1311"/>
      <c r="AC56" s="1311"/>
      <c r="AD56" s="2624"/>
      <c r="AE56" s="248"/>
      <c r="AF56" s="250"/>
      <c r="AG56" s="351" t="s">
        <v>507</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774"/>
      <c r="BE56" s="435"/>
      <c r="BF56" s="435" t="str">
        <f t="shared" ref="BF56:BF63" si="4">IF(T56="","",T56)</f>
        <v/>
      </c>
      <c r="BG56" s="435"/>
      <c r="BH56" s="435"/>
      <c r="BI56" s="1073">
        <v>11</v>
      </c>
    </row>
    <row r="57" spans="1:61" ht="11.45" customHeight="1">
      <c r="A57" s="1281" t="s">
        <v>248</v>
      </c>
      <c r="B57" s="1281" t="s">
        <v>249</v>
      </c>
      <c r="C57" s="1281" t="s">
        <v>250</v>
      </c>
      <c r="D57" s="1281" t="s">
        <v>517</v>
      </c>
      <c r="E57" s="2779"/>
      <c r="F57" s="2779"/>
      <c r="G57" s="2779"/>
      <c r="H57" s="2779"/>
      <c r="I57" s="2787"/>
      <c r="J57" s="2776"/>
      <c r="K57" s="1281"/>
      <c r="L57" s="1282"/>
      <c r="P57" s="2777"/>
      <c r="Q57" s="2777"/>
      <c r="R57" s="291"/>
      <c r="S57" s="1196"/>
      <c r="T57" s="223" t="s">
        <v>470</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775"/>
      <c r="BE57" s="435"/>
      <c r="BF57" s="435" t="str">
        <f t="shared" si="4"/>
        <v>Добавить строку</v>
      </c>
      <c r="BG57" s="435"/>
      <c r="BH57" s="435"/>
      <c r="BI57" s="1073">
        <v>11</v>
      </c>
    </row>
    <row r="58" spans="1:61" s="2520" customFormat="1" ht="0" hidden="1" customHeight="1">
      <c r="A58" s="1261" t="s">
        <v>248</v>
      </c>
      <c r="B58" s="1261" t="s">
        <v>249</v>
      </c>
      <c r="C58" s="1261" t="s">
        <v>250</v>
      </c>
      <c r="D58" s="1261" t="s">
        <v>517</v>
      </c>
      <c r="E58" s="2779"/>
      <c r="F58" s="2779"/>
      <c r="G58" s="2779"/>
      <c r="H58" s="2779"/>
      <c r="I58" s="2776"/>
      <c r="J58" s="1261"/>
      <c r="K58" s="1261"/>
      <c r="L58" s="1264"/>
      <c r="M58" s="445"/>
      <c r="N58" s="445"/>
      <c r="O58" s="445"/>
      <c r="P58" s="2777"/>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520" customFormat="1" ht="0" hidden="1" customHeight="1">
      <c r="A59" s="1261" t="s">
        <v>248</v>
      </c>
      <c r="B59" s="1261" t="s">
        <v>249</v>
      </c>
      <c r="C59" s="1261" t="s">
        <v>250</v>
      </c>
      <c r="D59" s="1261" t="s">
        <v>517</v>
      </c>
      <c r="E59" s="2779"/>
      <c r="F59" s="2779"/>
      <c r="G59" s="2779"/>
      <c r="H59" s="2778"/>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520" customFormat="1" ht="0" hidden="1" customHeight="1">
      <c r="A60" s="1261" t="s">
        <v>248</v>
      </c>
      <c r="B60" s="1261" t="s">
        <v>249</v>
      </c>
      <c r="C60" s="1261" t="s">
        <v>250</v>
      </c>
      <c r="D60" s="1232"/>
      <c r="E60" s="2779"/>
      <c r="F60" s="2779"/>
      <c r="G60" s="2778"/>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520" customFormat="1" ht="0" hidden="1" customHeight="1">
      <c r="A61" s="1261" t="s">
        <v>248</v>
      </c>
      <c r="B61" s="1261" t="s">
        <v>249</v>
      </c>
      <c r="C61" s="1232"/>
      <c r="D61" s="1232"/>
      <c r="E61" s="2779"/>
      <c r="F61" s="2778"/>
      <c r="G61" s="1232"/>
      <c r="H61" s="1232"/>
      <c r="I61" s="1232"/>
      <c r="J61" s="1232"/>
      <c r="K61" s="1232"/>
      <c r="L61" s="1382"/>
      <c r="M61" s="1239"/>
      <c r="N61" s="1239"/>
      <c r="P61" s="1234"/>
      <c r="Q61" s="1235"/>
      <c r="R61" s="1234"/>
      <c r="S61" s="1240"/>
      <c r="T61" s="1243" t="s">
        <v>161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520" customFormat="1" ht="0" hidden="1" customHeight="1">
      <c r="A62" s="1261" t="s">
        <v>248</v>
      </c>
      <c r="B62" s="1261"/>
      <c r="C62" s="1261"/>
      <c r="D62" s="1261"/>
      <c r="E62" s="2778"/>
      <c r="F62" s="1261"/>
      <c r="G62" s="1261"/>
      <c r="H62" s="1261"/>
      <c r="I62" s="1261"/>
      <c r="J62" s="1261"/>
      <c r="K62" s="1261"/>
      <c r="L62" s="1264"/>
      <c r="M62" s="1239"/>
      <c r="N62" s="1239"/>
      <c r="O62" s="453"/>
      <c r="P62" s="315"/>
      <c r="Q62" s="1262"/>
      <c r="R62" s="315"/>
      <c r="S62" s="1240"/>
      <c r="T62" s="1243" t="s">
        <v>162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520"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163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786"/>
      <c r="U65" s="2786"/>
      <c r="V65" s="2786"/>
      <c r="W65" s="2786"/>
      <c r="X65" s="2786"/>
      <c r="Y65" s="2786"/>
      <c r="Z65" s="2786"/>
      <c r="AA65" s="2786"/>
      <c r="AB65" s="2786"/>
      <c r="AC65" s="2786"/>
      <c r="AD65" s="2786"/>
      <c r="AE65" s="2786"/>
      <c r="AF65" s="2786"/>
      <c r="AG65" s="2786"/>
      <c r="AH65" s="2786"/>
      <c r="AI65" s="2786"/>
      <c r="AJ65" s="2786"/>
      <c r="AK65" s="2786"/>
      <c r="AL65" s="2786"/>
      <c r="AM65" s="2786"/>
      <c r="AN65" s="2786"/>
      <c r="AO65" s="2786"/>
      <c r="AP65" s="2786"/>
      <c r="AQ65" s="2786"/>
      <c r="AR65" s="2786"/>
      <c r="AS65" s="2786"/>
      <c r="AT65" s="2786"/>
      <c r="AU65" s="2786"/>
      <c r="AV65" s="2786"/>
      <c r="AW65" s="2786"/>
      <c r="AX65" s="2786"/>
      <c r="AY65" s="2786"/>
      <c r="AZ65" s="2786"/>
      <c r="BA65" s="2786"/>
      <c r="BB65" s="2786"/>
      <c r="BC65" s="2786"/>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786"/>
      <c r="U67" s="2786"/>
      <c r="V67" s="2786"/>
      <c r="W67" s="2786"/>
      <c r="X67" s="2786"/>
      <c r="Y67" s="2786"/>
      <c r="Z67" s="2786"/>
      <c r="AA67" s="2786"/>
      <c r="AB67" s="2786"/>
      <c r="AC67" s="2786"/>
      <c r="AD67" s="2786"/>
      <c r="AE67" s="2786"/>
      <c r="AF67" s="2786"/>
      <c r="AG67" s="2786"/>
      <c r="AH67" s="2786"/>
      <c r="AI67" s="2786"/>
      <c r="AJ67" s="2786"/>
      <c r="AK67" s="2786"/>
      <c r="AL67" s="2786"/>
      <c r="AM67" s="2786"/>
      <c r="AN67" s="2786"/>
      <c r="AO67" s="2786"/>
      <c r="AP67" s="2786"/>
      <c r="AQ67" s="2786"/>
      <c r="AR67" s="2786"/>
      <c r="AS67" s="2786"/>
      <c r="AT67" s="2786"/>
      <c r="AU67" s="2786"/>
      <c r="AV67" s="2786"/>
      <c r="AW67" s="2786"/>
      <c r="AX67" s="2786"/>
      <c r="AY67" s="2786"/>
      <c r="AZ67" s="2786"/>
      <c r="BA67" s="2786"/>
      <c r="BB67" s="2786"/>
      <c r="BC67" s="2786"/>
      <c r="BI67" s="1073">
        <v>19</v>
      </c>
    </row>
    <row r="68" spans="1:61" ht="14.65" customHeight="1">
      <c r="O68" s="472"/>
      <c r="BI68" s="1073">
        <v>14</v>
      </c>
    </row>
    <row r="69" spans="1:61" ht="14.25" hidden="1" customHeight="1">
      <c r="A69" s="1078" t="s">
        <v>81</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519" hidden="1"/>
    <col min="2" max="2" width="11" style="2519" hidden="1" customWidth="1"/>
    <col min="3" max="3" width="10.5703125" style="2519" hidden="1"/>
    <col min="4" max="4" width="11.85546875" style="2519" hidden="1" customWidth="1"/>
    <col min="5" max="5" width="10" style="2519" hidden="1" customWidth="1"/>
    <col min="6" max="6" width="8.7109375" style="2519" hidden="1" customWidth="1"/>
    <col min="7" max="7" width="7.5703125" style="2519" hidden="1" customWidth="1"/>
    <col min="8" max="8" width="11.42578125" style="2519" hidden="1" customWidth="1"/>
    <col min="9" max="9" width="14.140625" style="2519" hidden="1" customWidth="1"/>
    <col min="10" max="10" width="9.85546875" style="2519" hidden="1" customWidth="1"/>
    <col min="11" max="11" width="14.7109375" style="2519" hidden="1" customWidth="1"/>
    <col min="12" max="12" width="19.140625" style="2545" hidden="1" customWidth="1"/>
    <col min="13" max="14" width="12.28515625" style="2546" hidden="1" customWidth="1"/>
    <col min="15" max="15" width="23.42578125" style="2546" hidden="1" customWidth="1"/>
    <col min="16" max="16" width="3" style="2547" customWidth="1"/>
    <col min="17" max="18" width="3" style="2548" customWidth="1"/>
    <col min="19" max="19" width="12" style="2549" customWidth="1"/>
    <col min="20" max="20" width="35" style="2513" customWidth="1"/>
    <col min="21" max="21" width="0.140625" style="2513" customWidth="1"/>
    <col min="22" max="24" width="24.7109375" style="2513" hidden="1" customWidth="1"/>
    <col min="25" max="25" width="11.7109375" style="2513" hidden="1" customWidth="1"/>
    <col min="26" max="26" width="3.7109375" style="2513" hidden="1" customWidth="1"/>
    <col min="27" max="27" width="11.7109375" style="2513" hidden="1" customWidth="1"/>
    <col min="28" max="28" width="8.5703125" style="2513" hidden="1" customWidth="1"/>
    <col min="29" max="29" width="24.7109375" style="2513" customWidth="1"/>
    <col min="30" max="31" width="24" style="2513" customWidth="1"/>
    <col min="32" max="32" width="11" style="2513" customWidth="1"/>
    <col min="33" max="33" width="3.7109375" style="2513" customWidth="1"/>
    <col min="34" max="34" width="11" style="2513" customWidth="1"/>
    <col min="35" max="35" width="8.5703125" style="2513" hidden="1" customWidth="1"/>
    <col min="36" max="36" width="4" style="2513" customWidth="1"/>
    <col min="37" max="37" width="115" style="2513" customWidth="1"/>
    <col min="38" max="42" width="10" style="2520" customWidth="1"/>
    <col min="43" max="43" width="10.5703125" style="2513" hidden="1"/>
  </cols>
  <sheetData>
    <row r="1" spans="1:43" ht="22.5" hidden="1" customHeight="1">
      <c r="X1" s="263"/>
      <c r="Y1" s="263"/>
      <c r="AE1" s="263"/>
      <c r="AF1" s="263"/>
      <c r="AQ1" s="1073" t="s">
        <v>14</v>
      </c>
    </row>
    <row r="2" spans="1:43" ht="23.25" hidden="1" customHeight="1">
      <c r="A2" s="1281"/>
      <c r="B2" s="1281"/>
      <c r="C2" s="1281"/>
      <c r="D2" s="1281"/>
      <c r="E2" s="2778">
        <v>1</v>
      </c>
      <c r="F2" s="1281"/>
      <c r="G2" s="1281"/>
      <c r="H2" s="1281"/>
      <c r="I2" s="1281"/>
      <c r="J2" s="1281"/>
      <c r="K2" s="1281"/>
      <c r="L2" s="1282"/>
      <c r="M2" s="1283"/>
      <c r="N2" s="1283"/>
      <c r="O2" s="1283"/>
      <c r="P2" s="296"/>
      <c r="Q2" s="295"/>
      <c r="R2" s="290"/>
      <c r="S2" s="1411" t="e">
        <f>INDEX(PT_DIFFERENTIATION_NUM_NTAR,MATCH(A2,PT_DIFFERENTIATION_NTAR_ID,0))</f>
        <v>#N/A</v>
      </c>
      <c r="T2" s="234" t="s">
        <v>122</v>
      </c>
      <c r="U2" s="236"/>
      <c r="V2" s="2766"/>
      <c r="W2" s="2767"/>
      <c r="X2" s="2767"/>
      <c r="Y2" s="2767"/>
      <c r="Z2" s="2767"/>
      <c r="AA2" s="2767"/>
      <c r="AB2" s="2768"/>
      <c r="AC2" s="2766" t="e">
        <f>INDEX(PT_DIFFERENTIATION_NTAR,MATCH(A2,PT_DIFFERENTIATION_NTAR_ID,0))</f>
        <v>#N/A</v>
      </c>
      <c r="AD2" s="2767"/>
      <c r="AE2" s="2767"/>
      <c r="AF2" s="2767"/>
      <c r="AG2" s="2767"/>
      <c r="AH2" s="2767"/>
      <c r="AI2" s="2767"/>
      <c r="AJ2" s="276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779"/>
      <c r="F3" s="2778">
        <v>1</v>
      </c>
      <c r="G3" s="1281"/>
      <c r="H3" s="1281"/>
      <c r="I3" s="1281"/>
      <c r="J3" s="1281"/>
      <c r="K3" s="1281"/>
      <c r="L3" s="1282"/>
      <c r="M3" s="1283"/>
      <c r="N3" s="1283"/>
      <c r="O3" s="1283"/>
      <c r="P3" s="1405"/>
      <c r="Q3" s="287"/>
      <c r="R3" s="288"/>
      <c r="S3" s="1411" t="e">
        <f>INDEX(PT_DIFFERENTIATION_NUM_TER,MATCH(B3,PT_DIFFERENTIATION_TER_ID,0))</f>
        <v>#N/A</v>
      </c>
      <c r="T3" s="244" t="s">
        <v>399</v>
      </c>
      <c r="U3" s="236"/>
      <c r="V3" s="2766"/>
      <c r="W3" s="2767"/>
      <c r="X3" s="2767"/>
      <c r="Y3" s="2767"/>
      <c r="Z3" s="2767"/>
      <c r="AA3" s="2767"/>
      <c r="AB3" s="2768"/>
      <c r="AC3" s="2766" t="e">
        <f>INDEX(PT_DIFFERENTIATION_TER,MATCH(B3,PT_DIFFERENTIATION_TER_ID,0))</f>
        <v>#N/A</v>
      </c>
      <c r="AD3" s="2767"/>
      <c r="AE3" s="2767"/>
      <c r="AF3" s="2767"/>
      <c r="AG3" s="2767"/>
      <c r="AH3" s="2767"/>
      <c r="AI3" s="2767"/>
      <c r="AJ3" s="2768"/>
      <c r="AK3" s="1176" t="s">
        <v>400</v>
      </c>
      <c r="AM3" s="435"/>
      <c r="AN3" s="435" t="str">
        <f t="shared" si="0"/>
        <v>Территория действия тарифа</v>
      </c>
      <c r="AO3" s="435"/>
      <c r="AP3" s="435"/>
      <c r="AQ3" s="1073">
        <v>0</v>
      </c>
    </row>
    <row r="4" spans="1:43" ht="23.25" hidden="1" customHeight="1">
      <c r="A4" s="1281"/>
      <c r="B4" s="1281"/>
      <c r="C4" s="1281"/>
      <c r="D4" s="1281"/>
      <c r="E4" s="2779"/>
      <c r="F4" s="2779"/>
      <c r="G4" s="2778">
        <v>1</v>
      </c>
      <c r="H4" s="1281"/>
      <c r="I4" s="1281"/>
      <c r="J4" s="1281"/>
      <c r="K4" s="1281"/>
      <c r="L4" s="1282"/>
      <c r="M4" s="1283"/>
      <c r="N4" s="1283"/>
      <c r="O4" s="1283"/>
      <c r="P4" s="289"/>
      <c r="Q4" s="287"/>
      <c r="R4" s="288"/>
      <c r="S4" s="1411" t="e">
        <f>INDEX(PT_DIFFERENTIATION_NUM_CS,MATCH(C4,PT_DIFFERENTIATION_CS_ID,0))</f>
        <v>#N/A</v>
      </c>
      <c r="T4" s="245" t="s">
        <v>518</v>
      </c>
      <c r="U4" s="236"/>
      <c r="V4" s="2766"/>
      <c r="W4" s="2767"/>
      <c r="X4" s="2767"/>
      <c r="Y4" s="2767"/>
      <c r="Z4" s="2767"/>
      <c r="AA4" s="2767"/>
      <c r="AB4" s="2768"/>
      <c r="AC4" s="2766" t="e">
        <f>INDEX(PT_DIFFERENTIATION_CS,MATCH(C4,PT_DIFFERENTIATION_CS_ID,0))</f>
        <v>#N/A</v>
      </c>
      <c r="AD4" s="2767"/>
      <c r="AE4" s="2767"/>
      <c r="AF4" s="2767"/>
      <c r="AG4" s="2767"/>
      <c r="AH4" s="2767"/>
      <c r="AI4" s="2767"/>
      <c r="AJ4" s="2768"/>
      <c r="AK4" s="1176" t="s">
        <v>519</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779"/>
      <c r="F5" s="2779"/>
      <c r="G5" s="2779"/>
      <c r="H5" s="2779"/>
      <c r="I5" s="2776" t="e">
        <f>S4&amp;".1"</f>
        <v>#N/A</v>
      </c>
      <c r="J5" s="1281"/>
      <c r="K5" s="1281"/>
      <c r="L5" s="1282"/>
      <c r="P5" s="2777">
        <v>1</v>
      </c>
      <c r="Q5" s="1399"/>
      <c r="R5" s="291"/>
      <c r="S5" s="1411" t="e">
        <f>$I5</f>
        <v>#N/A</v>
      </c>
      <c r="T5" s="221" t="s">
        <v>485</v>
      </c>
      <c r="U5" s="236"/>
      <c r="V5" s="2833"/>
      <c r="W5" s="2834"/>
      <c r="X5" s="2834"/>
      <c r="Y5" s="2834"/>
      <c r="Z5" s="2834"/>
      <c r="AA5" s="2834"/>
      <c r="AB5" s="2835"/>
      <c r="AC5" s="2836"/>
      <c r="AD5" s="2837"/>
      <c r="AE5" s="2837"/>
      <c r="AF5" s="2837"/>
      <c r="AG5" s="2837"/>
      <c r="AH5" s="2837"/>
      <c r="AI5" s="2837"/>
      <c r="AJ5" s="2838"/>
      <c r="AK5" s="1176" t="s">
        <v>486</v>
      </c>
      <c r="AM5" s="435"/>
      <c r="AN5" s="435" t="str">
        <f t="shared" si="0"/>
        <v>Наименование признака дифференциации</v>
      </c>
      <c r="AO5" s="435"/>
      <c r="AP5" s="435"/>
      <c r="AQ5" s="1073">
        <v>0</v>
      </c>
    </row>
    <row r="6" spans="1:43" ht="23.25" hidden="1" customHeight="1">
      <c r="A6" s="1281"/>
      <c r="B6" s="1281"/>
      <c r="C6" s="1281"/>
      <c r="D6" s="1281"/>
      <c r="E6" s="2779"/>
      <c r="F6" s="2779"/>
      <c r="G6" s="2779"/>
      <c r="H6" s="2779"/>
      <c r="I6" s="2787"/>
      <c r="J6" s="2776" t="e">
        <f>I5&amp;".1"</f>
        <v>#N/A</v>
      </c>
      <c r="K6" s="1281"/>
      <c r="L6" s="1282" t="s">
        <v>408</v>
      </c>
      <c r="P6" s="2777"/>
      <c r="Q6" s="2777">
        <v>1</v>
      </c>
      <c r="R6" s="292"/>
      <c r="S6" s="1411" t="e">
        <f>$J6</f>
        <v>#N/A</v>
      </c>
      <c r="T6" s="222" t="s">
        <v>409</v>
      </c>
      <c r="U6" s="236"/>
      <c r="V6" s="2769"/>
      <c r="W6" s="2770"/>
      <c r="X6" s="2770"/>
      <c r="Y6" s="2770"/>
      <c r="Z6" s="2770"/>
      <c r="AA6" s="2770"/>
      <c r="AB6" s="2771"/>
      <c r="AC6" s="2769"/>
      <c r="AD6" s="2770"/>
      <c r="AE6" s="2770"/>
      <c r="AF6" s="2770"/>
      <c r="AG6" s="2770"/>
      <c r="AH6" s="2770"/>
      <c r="AI6" s="2770"/>
      <c r="AJ6" s="2771"/>
      <c r="AK6" s="1225" t="s">
        <v>487</v>
      </c>
      <c r="AM6" s="435"/>
      <c r="AN6" s="435" t="str">
        <f t="shared" si="0"/>
        <v>Группа потребителей</v>
      </c>
      <c r="AO6" s="435"/>
      <c r="AP6" s="435"/>
      <c r="AQ6" s="1073">
        <v>0</v>
      </c>
    </row>
    <row r="7" spans="1:43" ht="23.25" hidden="1" customHeight="1">
      <c r="A7" s="1281"/>
      <c r="B7" s="1281"/>
      <c r="C7" s="1281"/>
      <c r="D7" s="1281"/>
      <c r="E7" s="2779"/>
      <c r="F7" s="2779"/>
      <c r="G7" s="2779"/>
      <c r="H7" s="2779"/>
      <c r="I7" s="2787"/>
      <c r="J7" s="2787"/>
      <c r="K7" s="2776" t="e">
        <f>J6&amp;".1"</f>
        <v>#N/A</v>
      </c>
      <c r="L7" s="1282"/>
      <c r="P7" s="2777"/>
      <c r="Q7" s="2777"/>
      <c r="R7" s="292">
        <v>1</v>
      </c>
      <c r="S7" s="1411" t="e">
        <f>$K7</f>
        <v>#N/A</v>
      </c>
      <c r="T7" s="1355"/>
      <c r="U7" s="236"/>
      <c r="V7" s="686"/>
      <c r="W7" s="686"/>
      <c r="X7" s="1175"/>
      <c r="Y7" s="2753"/>
      <c r="Z7" s="2619" t="s">
        <v>66</v>
      </c>
      <c r="AA7" s="2753"/>
      <c r="AB7" s="2619" t="s">
        <v>66</v>
      </c>
      <c r="AC7" s="686"/>
      <c r="AD7" s="686"/>
      <c r="AE7" s="1175"/>
      <c r="AF7" s="2753"/>
      <c r="AG7" s="2619" t="s">
        <v>66</v>
      </c>
      <c r="AH7" s="2788"/>
      <c r="AI7" s="2619" t="s">
        <v>66</v>
      </c>
      <c r="AJ7" s="1356"/>
      <c r="AK7" s="28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779"/>
      <c r="F8" s="2779"/>
      <c r="G8" s="2779"/>
      <c r="H8" s="2779"/>
      <c r="I8" s="2787"/>
      <c r="J8" s="2787"/>
      <c r="K8" s="2776"/>
      <c r="L8" s="1282"/>
      <c r="P8" s="2777"/>
      <c r="Q8" s="2777"/>
      <c r="R8" s="292"/>
      <c r="S8" s="1408"/>
      <c r="T8" s="236"/>
      <c r="U8" s="236"/>
      <c r="V8" s="261"/>
      <c r="W8" s="261"/>
      <c r="X8" s="264" t="str">
        <f>Y7&amp;"-"&amp;AA7</f>
        <v>-</v>
      </c>
      <c r="Y8" s="2752"/>
      <c r="Z8" s="2619"/>
      <c r="AA8" s="2752"/>
      <c r="AB8" s="2619"/>
      <c r="AC8" s="261"/>
      <c r="AD8" s="261"/>
      <c r="AE8" s="264" t="str">
        <f>AF7&amp;"-"&amp;AH7</f>
        <v>-</v>
      </c>
      <c r="AF8" s="2752"/>
      <c r="AG8" s="2619"/>
      <c r="AH8" s="2789"/>
      <c r="AI8" s="2619"/>
      <c r="AJ8" s="1357"/>
      <c r="AK8" s="2832"/>
      <c r="AM8" s="435"/>
      <c r="AN8" s="435" t="str">
        <f t="shared" si="0"/>
        <v/>
      </c>
      <c r="AO8" s="435"/>
      <c r="AP8" s="435"/>
      <c r="AQ8" s="1073">
        <v>0</v>
      </c>
    </row>
    <row r="9" spans="1:43" ht="21" hidden="1" customHeight="1">
      <c r="A9" s="1281"/>
      <c r="B9" s="1281"/>
      <c r="C9" s="1281"/>
      <c r="D9" s="1281"/>
      <c r="E9" s="2779"/>
      <c r="F9" s="2779"/>
      <c r="G9" s="2779"/>
      <c r="H9" s="2779"/>
      <c r="I9" s="2787"/>
      <c r="J9" s="2776"/>
      <c r="K9" s="1281"/>
      <c r="L9" s="1282"/>
      <c r="P9" s="2777"/>
      <c r="Q9" s="2777"/>
      <c r="R9" s="291"/>
      <c r="S9" s="1196"/>
      <c r="T9" s="223" t="s">
        <v>488</v>
      </c>
      <c r="U9" s="302"/>
      <c r="V9" s="302"/>
      <c r="W9" s="302"/>
      <c r="X9" s="302"/>
      <c r="Y9" s="302"/>
      <c r="Z9" s="302"/>
      <c r="AA9" s="302"/>
      <c r="AB9" s="302"/>
      <c r="AC9" s="302"/>
      <c r="AD9" s="302"/>
      <c r="AE9" s="302"/>
      <c r="AF9" s="302"/>
      <c r="AG9" s="302"/>
      <c r="AH9" s="302"/>
      <c r="AI9" s="302"/>
      <c r="AJ9" s="302"/>
      <c r="AK9" s="1176" t="s">
        <v>489</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779"/>
      <c r="F10" s="2779"/>
      <c r="G10" s="2779"/>
      <c r="H10" s="2779"/>
      <c r="I10" s="2776"/>
      <c r="J10" s="1281"/>
      <c r="K10" s="1281"/>
      <c r="L10" s="1282"/>
      <c r="P10" s="2777"/>
      <c r="Q10" s="1399"/>
      <c r="R10" s="291"/>
      <c r="S10" s="1196"/>
      <c r="T10" s="300" t="s">
        <v>414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779"/>
      <c r="F11" s="2779"/>
      <c r="G11" s="2779"/>
      <c r="H11" s="2778"/>
      <c r="I11" s="1281"/>
      <c r="J11" s="1281"/>
      <c r="K11" s="1281"/>
      <c r="L11" s="1282"/>
      <c r="M11" s="1283"/>
      <c r="N11" s="1283"/>
      <c r="O11" s="472"/>
      <c r="P11" s="295"/>
      <c r="Q11" s="310"/>
      <c r="R11" s="290"/>
      <c r="S11" s="1196"/>
      <c r="T11" s="307" t="s">
        <v>490</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520" customFormat="1" ht="14.25" hidden="1" customHeight="1">
      <c r="A12" s="1261"/>
      <c r="B12" s="1261"/>
      <c r="C12" s="1232"/>
      <c r="D12" s="1232"/>
      <c r="E12" s="2779"/>
      <c r="F12" s="2778"/>
      <c r="G12" s="1232"/>
      <c r="H12" s="1232"/>
      <c r="I12" s="1232"/>
      <c r="J12" s="1232"/>
      <c r="K12" s="1232"/>
      <c r="L12" s="1412"/>
      <c r="M12" s="1239"/>
      <c r="N12" s="1239"/>
      <c r="P12" s="1234"/>
      <c r="Q12" s="1235"/>
      <c r="R12" s="1234"/>
      <c r="S12" s="1240"/>
      <c r="T12" s="1243" t="s">
        <v>161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520" customFormat="1" ht="14.25" hidden="1" customHeight="1">
      <c r="A13" s="1261"/>
      <c r="B13" s="1261"/>
      <c r="C13" s="1261"/>
      <c r="D13" s="1261"/>
      <c r="E13" s="2778"/>
      <c r="F13" s="1261"/>
      <c r="G13" s="1261"/>
      <c r="H13" s="1261"/>
      <c r="I13" s="1261"/>
      <c r="J13" s="1261"/>
      <c r="K13" s="1261"/>
      <c r="L13" s="1264"/>
      <c r="M13" s="1239"/>
      <c r="N13" s="1239"/>
      <c r="O13" s="453"/>
      <c r="P13" s="315"/>
      <c r="Q13" s="1262"/>
      <c r="R13" s="315"/>
      <c r="S13" s="1240"/>
      <c r="T13" s="1243" t="s">
        <v>162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780"/>
      <c r="AG15" s="2781" t="s">
        <v>66</v>
      </c>
      <c r="AH15" s="2780"/>
      <c r="AI15" s="2781" t="s">
        <v>66</v>
      </c>
      <c r="AQ15" s="1073">
        <v>0</v>
      </c>
    </row>
    <row r="16" spans="1:43" ht="14.25" hidden="1" customHeight="1">
      <c r="AC16" s="1278"/>
      <c r="AD16" s="1278"/>
      <c r="AE16" s="264" t="str">
        <f>AF15&amp;"-"&amp;AH15</f>
        <v>-</v>
      </c>
      <c r="AF16" s="2781"/>
      <c r="AG16" s="2781"/>
      <c r="AH16" s="2781"/>
      <c r="AI16" s="2781"/>
      <c r="AQ16" s="1073">
        <v>0</v>
      </c>
    </row>
    <row r="17" spans="1:43" ht="14.25" hidden="1" customHeight="1">
      <c r="AI17" s="263"/>
      <c r="AQ17" s="1073">
        <v>0</v>
      </c>
    </row>
    <row r="18" spans="1:43" s="2519" customFormat="1" ht="22.5" hidden="1" customHeight="1">
      <c r="L18" s="1396"/>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519"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519" customFormat="1" ht="12" hidden="1" customHeight="1">
      <c r="L20" s="1396"/>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74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49"/>
      <c r="U24" s="2749"/>
      <c r="V24" s="2749"/>
      <c r="W24" s="2749"/>
      <c r="X24" s="2749"/>
      <c r="Y24" s="2749"/>
      <c r="Z24" s="2749"/>
      <c r="AA24" s="2749"/>
      <c r="AB24" s="2749"/>
      <c r="AC24" s="2749"/>
      <c r="AD24" s="2749"/>
      <c r="AE24" s="2749"/>
      <c r="AF24" s="2749"/>
      <c r="AG24" s="2749"/>
      <c r="AH24" s="2749"/>
      <c r="AI24" s="1161"/>
      <c r="AQ24" s="1073">
        <v>14</v>
      </c>
    </row>
    <row r="25" spans="1:43" ht="14.65" customHeight="1">
      <c r="Q25" s="311"/>
      <c r="R25" s="311"/>
      <c r="S25" s="2696" t="str">
        <f>IF(org=0,"Не определено",org)</f>
        <v>ООО "Ноябрьская ПГЭ"</v>
      </c>
      <c r="T25" s="2696"/>
      <c r="U25" s="2696"/>
      <c r="V25" s="2696"/>
      <c r="W25" s="2696"/>
      <c r="X25" s="2696"/>
      <c r="Y25" s="2696"/>
      <c r="Z25" s="2696"/>
      <c r="AA25" s="2696"/>
      <c r="AB25" s="2696"/>
      <c r="AC25" s="2696"/>
      <c r="AD25" s="2696"/>
      <c r="AE25" s="2696"/>
      <c r="AF25" s="2696"/>
      <c r="AG25" s="2696"/>
      <c r="AH25" s="2696"/>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529" customFormat="1" ht="25.5" hidden="1" customHeight="1">
      <c r="A27" s="1286"/>
      <c r="B27" s="1286"/>
      <c r="C27" s="1286"/>
      <c r="D27" s="1286"/>
      <c r="E27" s="1286"/>
      <c r="F27" s="1286"/>
      <c r="G27" s="1286"/>
      <c r="H27" s="1286"/>
      <c r="I27" s="1286"/>
      <c r="J27" s="1286"/>
      <c r="K27" s="1286"/>
      <c r="L27" s="1287"/>
      <c r="M27" s="1286"/>
      <c r="N27" s="1286"/>
      <c r="O27" s="1286"/>
      <c r="S27" s="2772" t="s">
        <v>42</v>
      </c>
      <c r="T27" s="2772"/>
      <c r="U27" s="1290"/>
      <c r="V27" s="2754" t="str">
        <f>IF(TITLE_NAME_OR_PR_CHANGE="",IF(TITLE_NAME_OR_PR="","",TITLE_NAME_OR_PR),TITLE_NAME_OR_PR_CHANGE)</f>
        <v/>
      </c>
      <c r="W27" s="2754"/>
      <c r="X27" s="2754"/>
      <c r="Y27" s="2754"/>
      <c r="Z27" s="2754"/>
      <c r="AA27" s="2754"/>
      <c r="AB27" s="262"/>
      <c r="AC27" s="2754" t="str">
        <f>IF(TITLE_NAME_OR_PR_CHANGE="",IF(TITLE_NAME_OR_PR="","",TITLE_NAME_OR_PR),TITLE_NAME_OR_PR_CHANGE)</f>
        <v/>
      </c>
      <c r="AD27" s="2754"/>
      <c r="AE27" s="2754"/>
      <c r="AF27" s="2754"/>
      <c r="AG27" s="2754"/>
      <c r="AH27" s="2754"/>
      <c r="AI27" s="262"/>
      <c r="AJ27" s="262"/>
      <c r="AK27" s="216"/>
      <c r="AL27" s="303"/>
      <c r="AM27" s="303"/>
      <c r="AN27" s="303"/>
      <c r="AO27" s="303"/>
      <c r="AP27" s="303"/>
      <c r="AQ27" s="353">
        <v>0</v>
      </c>
    </row>
    <row r="28" spans="1:43" s="2529" customFormat="1" ht="18.75" hidden="1" customHeight="1">
      <c r="A28" s="1286"/>
      <c r="B28" s="1286"/>
      <c r="C28" s="1286"/>
      <c r="D28" s="1286"/>
      <c r="E28" s="1286"/>
      <c r="F28" s="1286"/>
      <c r="G28" s="1286"/>
      <c r="H28" s="1286"/>
      <c r="I28" s="1286"/>
      <c r="J28" s="1286"/>
      <c r="K28" s="1286"/>
      <c r="L28" s="1287"/>
      <c r="M28" s="1286"/>
      <c r="N28" s="1286"/>
      <c r="O28" s="1286"/>
      <c r="S28" s="2772" t="s">
        <v>422</v>
      </c>
      <c r="T28" s="2772"/>
      <c r="U28" s="1290"/>
      <c r="V28" s="2755">
        <f>IF(TITLE_DATE_PR_CHANGE="",IF(TITLE_DATE_PR="","",TITLE_DATE_PR),TITLE_DATE_PR_CHANGE)</f>
        <v>45583</v>
      </c>
      <c r="W28" s="2755"/>
      <c r="X28" s="2755"/>
      <c r="Y28" s="2755"/>
      <c r="Z28" s="2755"/>
      <c r="AA28" s="2755"/>
      <c r="AB28" s="262"/>
      <c r="AC28" s="2755">
        <f>IF(TITLE_DATE_PR_CHANGE="",IF(TITLE_DATE_PR="","",TITLE_DATE_PR),TITLE_DATE_PR_CHANGE)</f>
        <v>45583</v>
      </c>
      <c r="AD28" s="2755"/>
      <c r="AE28" s="2755"/>
      <c r="AF28" s="2755"/>
      <c r="AG28" s="2755"/>
      <c r="AH28" s="2755"/>
      <c r="AI28" s="262"/>
      <c r="AJ28" s="262"/>
      <c r="AK28" s="216"/>
      <c r="AL28" s="303"/>
      <c r="AM28" s="303"/>
      <c r="AN28" s="303"/>
      <c r="AO28" s="303"/>
      <c r="AP28" s="303"/>
      <c r="AQ28" s="353">
        <v>0</v>
      </c>
    </row>
    <row r="29" spans="1:43" s="2529" customFormat="1" ht="18.75" hidden="1" customHeight="1">
      <c r="A29" s="1286"/>
      <c r="B29" s="1286"/>
      <c r="C29" s="1286"/>
      <c r="D29" s="1286"/>
      <c r="E29" s="1286"/>
      <c r="F29" s="1286"/>
      <c r="G29" s="1286"/>
      <c r="H29" s="1286"/>
      <c r="I29" s="1286"/>
      <c r="J29" s="1286"/>
      <c r="K29" s="1286"/>
      <c r="L29" s="1287"/>
      <c r="M29" s="1286"/>
      <c r="N29" s="1286"/>
      <c r="O29" s="1286"/>
      <c r="S29" s="2772" t="s">
        <v>423</v>
      </c>
      <c r="T29" s="2772"/>
      <c r="U29" s="1290"/>
      <c r="V29" s="2754" t="str">
        <f>IF(TITLE_NUMBER_PR_CHANGE="",IF(TITLE_NUMBER_PR="","",TITLE_NUMBER_PR),TITLE_NUMBER_PR_CHANGE)</f>
        <v>18-3341</v>
      </c>
      <c r="W29" s="2754"/>
      <c r="X29" s="2754"/>
      <c r="Y29" s="2754"/>
      <c r="Z29" s="2754"/>
      <c r="AA29" s="2754"/>
      <c r="AB29" s="262"/>
      <c r="AC29" s="2754" t="str">
        <f>IF(TITLE_NUMBER_PR_CHANGE="",IF(TITLE_NUMBER_PR="","",TITLE_NUMBER_PR),TITLE_NUMBER_PR_CHANGE)</f>
        <v>18-3341</v>
      </c>
      <c r="AD29" s="2754"/>
      <c r="AE29" s="2754"/>
      <c r="AF29" s="2754"/>
      <c r="AG29" s="2754"/>
      <c r="AH29" s="2754"/>
      <c r="AI29" s="262"/>
      <c r="AJ29" s="262"/>
      <c r="AK29" s="216"/>
      <c r="AL29" s="303"/>
      <c r="AM29" s="303"/>
      <c r="AN29" s="303"/>
      <c r="AO29" s="303"/>
      <c r="AP29" s="303"/>
      <c r="AQ29" s="353">
        <v>0</v>
      </c>
    </row>
    <row r="30" spans="1:43" s="2529" customFormat="1" ht="18.75" hidden="1" customHeight="1">
      <c r="A30" s="1286"/>
      <c r="B30" s="1286"/>
      <c r="C30" s="1286"/>
      <c r="D30" s="1286"/>
      <c r="E30" s="1286"/>
      <c r="F30" s="1286"/>
      <c r="G30" s="1286"/>
      <c r="H30" s="1286"/>
      <c r="I30" s="1286"/>
      <c r="J30" s="1286"/>
      <c r="K30" s="1286"/>
      <c r="L30" s="1287"/>
      <c r="M30" s="1286"/>
      <c r="N30" s="1286"/>
      <c r="O30" s="1286"/>
      <c r="S30" s="2772" t="s">
        <v>43</v>
      </c>
      <c r="T30" s="2772"/>
      <c r="U30" s="1290"/>
      <c r="V30" s="2754" t="str">
        <f>IF(TITLE_IST_PUB_CHANGE="",IF(TITLE_IST_PUB="","",TITLE_IST_PUB),TITLE_IST_PUB_CHANGE)</f>
        <v/>
      </c>
      <c r="W30" s="2754"/>
      <c r="X30" s="2754"/>
      <c r="Y30" s="2754"/>
      <c r="Z30" s="2754"/>
      <c r="AA30" s="2754"/>
      <c r="AB30" s="262"/>
      <c r="AC30" s="2754" t="str">
        <f>IF(TITLE_IST_PUB_CHANGE="",IF(TITLE_IST_PUB="","",TITLE_IST_PUB),TITLE_IST_PUB_CHANGE)</f>
        <v/>
      </c>
      <c r="AD30" s="2754"/>
      <c r="AE30" s="2754"/>
      <c r="AF30" s="2754"/>
      <c r="AG30" s="2754"/>
      <c r="AH30" s="2754"/>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529" customFormat="1" ht="18.75" customHeight="1">
      <c r="A32" s="1286"/>
      <c r="B32" s="1286"/>
      <c r="C32" s="1286"/>
      <c r="D32" s="1286"/>
      <c r="E32" s="1286"/>
      <c r="F32" s="1286"/>
      <c r="G32" s="1286"/>
      <c r="H32" s="1286"/>
      <c r="I32" s="1286"/>
      <c r="J32" s="1286"/>
      <c r="K32" s="1286"/>
      <c r="L32" s="1287"/>
      <c r="M32" s="1286"/>
      <c r="N32" s="1286"/>
      <c r="O32" s="1286"/>
      <c r="S32" s="2772" t="s">
        <v>424</v>
      </c>
      <c r="T32" s="2772"/>
      <c r="U32" s="1290"/>
      <c r="V32" s="2755">
        <f>IF(TITLE_DATE_PR_CHANGE="",IF(TITLE_DATE_PR="","",TITLE_DATE_PR),TITLE_DATE_PR_CHANGE)</f>
        <v>45583</v>
      </c>
      <c r="W32" s="2755"/>
      <c r="X32" s="2755"/>
      <c r="Y32" s="2755"/>
      <c r="Z32" s="2755"/>
      <c r="AA32" s="2755"/>
      <c r="AB32" s="262"/>
      <c r="AC32" s="2755">
        <f>IF(TITLE_DATE_PR_CHANGE="",IF(TITLE_DATE_PR="","",TITLE_DATE_PR),TITLE_DATE_PR_CHANGE)</f>
        <v>45583</v>
      </c>
      <c r="AD32" s="2755"/>
      <c r="AE32" s="2755"/>
      <c r="AF32" s="2755"/>
      <c r="AG32" s="2755"/>
      <c r="AH32" s="2755"/>
      <c r="AI32" s="262"/>
      <c r="AJ32" s="262"/>
      <c r="AK32" s="216"/>
      <c r="AL32" s="303"/>
      <c r="AM32" s="303"/>
      <c r="AN32" s="303"/>
      <c r="AO32" s="303"/>
      <c r="AP32" s="303"/>
      <c r="AQ32" s="353">
        <v>0</v>
      </c>
    </row>
    <row r="33" spans="1:43" s="2529" customFormat="1" ht="18.75" customHeight="1">
      <c r="A33" s="1286"/>
      <c r="B33" s="1286"/>
      <c r="C33" s="1286"/>
      <c r="D33" s="1286"/>
      <c r="E33" s="1286"/>
      <c r="F33" s="1286"/>
      <c r="G33" s="1286"/>
      <c r="H33" s="1286"/>
      <c r="I33" s="1286"/>
      <c r="J33" s="1286"/>
      <c r="K33" s="1286"/>
      <c r="L33" s="1287"/>
      <c r="M33" s="1286"/>
      <c r="N33" s="1286"/>
      <c r="O33" s="1286"/>
      <c r="S33" s="2772" t="s">
        <v>425</v>
      </c>
      <c r="T33" s="2772"/>
      <c r="U33" s="1290"/>
      <c r="V33" s="2754" t="str">
        <f>IF(TITLE_NUMBER_PR_CHANGE="",IF(TITLE_NUMBER_PR="","",TITLE_NUMBER_PR),TITLE_NUMBER_PR_CHANGE)</f>
        <v>18-3341</v>
      </c>
      <c r="W33" s="2754"/>
      <c r="X33" s="2754"/>
      <c r="Y33" s="2754"/>
      <c r="Z33" s="2754"/>
      <c r="AA33" s="2754"/>
      <c r="AB33" s="262"/>
      <c r="AC33" s="2754" t="str">
        <f>IF(TITLE_NUMBER_PR_CHANGE="",IF(TITLE_NUMBER_PR="","",TITLE_NUMBER_PR),TITLE_NUMBER_PR_CHANGE)</f>
        <v>18-3341</v>
      </c>
      <c r="AD33" s="2754"/>
      <c r="AE33" s="2754"/>
      <c r="AF33" s="2754"/>
      <c r="AG33" s="2754"/>
      <c r="AH33" s="2754"/>
      <c r="AI33" s="262"/>
      <c r="AJ33" s="262"/>
      <c r="AK33" s="216"/>
      <c r="AL33" s="303"/>
      <c r="AM33" s="303"/>
      <c r="AN33" s="303"/>
      <c r="AO33" s="303"/>
      <c r="AP33" s="303"/>
      <c r="AQ33" s="353">
        <v>0</v>
      </c>
    </row>
    <row r="34" spans="1:43" s="2529"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756"/>
      <c r="W35" s="2756"/>
      <c r="X35" s="2756"/>
      <c r="Y35" s="2756"/>
      <c r="Z35" s="2756"/>
      <c r="AA35" s="2756"/>
      <c r="AB35" s="2756"/>
      <c r="AC35" s="2756"/>
      <c r="AD35" s="2756"/>
      <c r="AE35" s="2756"/>
      <c r="AF35" s="2756"/>
      <c r="AG35" s="2756"/>
      <c r="AH35" s="2756"/>
      <c r="AI35" s="2756"/>
      <c r="AQ35" s="1073">
        <v>14</v>
      </c>
    </row>
    <row r="36" spans="1:43" ht="14.65" customHeight="1">
      <c r="Q36" s="311"/>
      <c r="R36" s="311"/>
      <c r="S36" s="2638" t="s">
        <v>302</v>
      </c>
      <c r="T36" s="2638"/>
      <c r="U36" s="2638"/>
      <c r="V36" s="2638"/>
      <c r="W36" s="2638"/>
      <c r="X36" s="2638"/>
      <c r="Y36" s="2638"/>
      <c r="Z36" s="2638"/>
      <c r="AA36" s="2638"/>
      <c r="AB36" s="2638"/>
      <c r="AC36" s="2638"/>
      <c r="AD36" s="2638"/>
      <c r="AE36" s="2638"/>
      <c r="AF36" s="2638"/>
      <c r="AG36" s="2638"/>
      <c r="AH36" s="2638"/>
      <c r="AI36" s="2638"/>
      <c r="AJ36" s="2638"/>
      <c r="AK36" s="2638" t="s">
        <v>303</v>
      </c>
      <c r="AQ36" s="1073">
        <v>14</v>
      </c>
    </row>
    <row r="37" spans="1:43" ht="14.65" customHeight="1">
      <c r="Q37" s="311"/>
      <c r="R37" s="311"/>
      <c r="S37" s="2782" t="s">
        <v>87</v>
      </c>
      <c r="T37" s="2724" t="s">
        <v>428</v>
      </c>
      <c r="U37" s="237"/>
      <c r="V37" s="2757" t="s">
        <v>429</v>
      </c>
      <c r="W37" s="2758"/>
      <c r="X37" s="2758"/>
      <c r="Y37" s="2758"/>
      <c r="Z37" s="2758"/>
      <c r="AA37" s="2759"/>
      <c r="AB37" s="2760" t="s">
        <v>430</v>
      </c>
      <c r="AC37" s="2757" t="s">
        <v>429</v>
      </c>
      <c r="AD37" s="2758"/>
      <c r="AE37" s="2758"/>
      <c r="AF37" s="2758"/>
      <c r="AG37" s="2758"/>
      <c r="AH37" s="2759"/>
      <c r="AI37" s="2760" t="s">
        <v>431</v>
      </c>
      <c r="AJ37" s="2783" t="s">
        <v>432</v>
      </c>
      <c r="AK37" s="2638"/>
      <c r="AQ37" s="1073">
        <v>14</v>
      </c>
    </row>
    <row r="38" spans="1:43" ht="35.65" customHeight="1">
      <c r="Q38" s="311"/>
      <c r="R38" s="311"/>
      <c r="S38" s="2782"/>
      <c r="T38" s="2724"/>
      <c r="U38" s="953"/>
      <c r="V38" s="1401" t="s">
        <v>491</v>
      </c>
      <c r="W38" s="2610" t="s">
        <v>435</v>
      </c>
      <c r="X38" s="2609"/>
      <c r="Y38" s="2610" t="s">
        <v>436</v>
      </c>
      <c r="Z38" s="2615"/>
      <c r="AA38" s="2609"/>
      <c r="AB38" s="2761"/>
      <c r="AC38" s="1401" t="s">
        <v>491</v>
      </c>
      <c r="AD38" s="2610" t="s">
        <v>435</v>
      </c>
      <c r="AE38" s="2609"/>
      <c r="AF38" s="2610" t="s">
        <v>436</v>
      </c>
      <c r="AG38" s="2615"/>
      <c r="AH38" s="2609"/>
      <c r="AI38" s="2761"/>
      <c r="AJ38" s="2784"/>
      <c r="AK38" s="2638"/>
      <c r="AQ38" s="1073">
        <v>34</v>
      </c>
    </row>
    <row r="39" spans="1:43" ht="90.4" customHeight="1">
      <c r="A39" s="1288"/>
      <c r="B39" s="1288" t="s">
        <v>134</v>
      </c>
      <c r="C39" s="1288" t="s">
        <v>135</v>
      </c>
      <c r="D39" s="1288" t="s">
        <v>136</v>
      </c>
      <c r="E39" s="1282" t="s">
        <v>437</v>
      </c>
      <c r="F39" s="1282" t="s">
        <v>438</v>
      </c>
      <c r="G39" s="1282" t="s">
        <v>439</v>
      </c>
      <c r="H39" s="1282"/>
      <c r="I39" s="1282" t="s">
        <v>492</v>
      </c>
      <c r="J39" s="1282" t="s">
        <v>442</v>
      </c>
      <c r="K39" s="1282" t="s">
        <v>493</v>
      </c>
      <c r="L39" s="1282" t="s">
        <v>417</v>
      </c>
      <c r="Q39" s="311"/>
      <c r="R39" s="311"/>
      <c r="S39" s="2782"/>
      <c r="T39" s="2724"/>
      <c r="U39" s="238"/>
      <c r="V39" s="1401" t="s">
        <v>520</v>
      </c>
      <c r="W39" s="1140" t="s">
        <v>521</v>
      </c>
      <c r="X39" s="1140" t="s">
        <v>496</v>
      </c>
      <c r="Y39" s="1407" t="s">
        <v>446</v>
      </c>
      <c r="Z39" s="2733" t="s">
        <v>447</v>
      </c>
      <c r="AA39" s="2735"/>
      <c r="AB39" s="2762"/>
      <c r="AC39" s="1401" t="s">
        <v>520</v>
      </c>
      <c r="AD39" s="1140" t="s">
        <v>521</v>
      </c>
      <c r="AE39" s="1140" t="s">
        <v>496</v>
      </c>
      <c r="AF39" s="1407" t="s">
        <v>446</v>
      </c>
      <c r="AG39" s="2733" t="s">
        <v>447</v>
      </c>
      <c r="AH39" s="2735"/>
      <c r="AI39" s="2762"/>
      <c r="AJ39" s="2785"/>
      <c r="AK39" s="2638"/>
      <c r="AQ39" s="1073">
        <v>86</v>
      </c>
    </row>
    <row r="40" spans="1:43" s="2544"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108</v>
      </c>
      <c r="T40" s="1173" t="s">
        <v>109</v>
      </c>
      <c r="U40" s="1163" t="str">
        <f ca="1">OFFSET(U40,0,-1)</f>
        <v>2</v>
      </c>
      <c r="V40" s="1400">
        <f ca="1">OFFSET(V40,0,-1)+1</f>
        <v>3</v>
      </c>
      <c r="W40" s="1400">
        <f ca="1">OFFSET(W40,0,-1)+1</f>
        <v>4</v>
      </c>
      <c r="X40" s="1400">
        <f ca="1">OFFSET(X40,0,-1)+1</f>
        <v>5</v>
      </c>
      <c r="Y40" s="1400">
        <f ca="1">OFFSET(Y40,0,-1)+1</f>
        <v>6</v>
      </c>
      <c r="Z40" s="2765">
        <f ca="1">OFFSET(Z40,0,-1)+1</f>
        <v>7</v>
      </c>
      <c r="AA40" s="2765"/>
      <c r="AB40" s="1400">
        <f ca="1">OFFSET(AB40,0,-2)+1</f>
        <v>8</v>
      </c>
      <c r="AC40" s="1400">
        <f ca="1">OFFSET(AC40,0,-1)+1</f>
        <v>9</v>
      </c>
      <c r="AD40" s="1400">
        <f ca="1">OFFSET(AD40,0,-1)+1</f>
        <v>10</v>
      </c>
      <c r="AE40" s="1400">
        <f ca="1">OFFSET(AE40,0,-1)+1</f>
        <v>11</v>
      </c>
      <c r="AF40" s="1400">
        <f ca="1">OFFSET(AF40,0,-1)+1</f>
        <v>12</v>
      </c>
      <c r="AG40" s="2765">
        <f ca="1">OFFSET(AG40,0,-1)+1</f>
        <v>13</v>
      </c>
      <c r="AH40" s="2765"/>
      <c r="AI40" s="1400">
        <f ca="1">OFFSET(AI40,0,-2)+1</f>
        <v>14</v>
      </c>
      <c r="AJ40" s="1163">
        <f ca="1">OFFSET(AJ40,0,-1)</f>
        <v>14</v>
      </c>
      <c r="AK40" s="1400">
        <f ca="1">OFFSET(AK40,0,-1)+1</f>
        <v>15</v>
      </c>
      <c r="AL40" s="446"/>
      <c r="AM40" s="446"/>
      <c r="AN40" s="446"/>
      <c r="AO40" s="446"/>
      <c r="AP40" s="446"/>
      <c r="AQ40" s="431">
        <v>0</v>
      </c>
    </row>
    <row r="41" spans="1:43" ht="24" customHeight="1">
      <c r="A41" s="1281" t="s">
        <v>268</v>
      </c>
      <c r="B41" s="1281"/>
      <c r="C41" s="1281"/>
      <c r="D41" s="1281"/>
      <c r="E41" s="2778">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122</v>
      </c>
      <c r="U41" s="236"/>
      <c r="V41" s="2766"/>
      <c r="W41" s="2767"/>
      <c r="X41" s="2767"/>
      <c r="Y41" s="2767"/>
      <c r="Z41" s="2767"/>
      <c r="AA41" s="2767"/>
      <c r="AB41" s="2768"/>
      <c r="AC41" s="2766" t="str">
        <f>INDEX(PT_DIFFERENTIATION_NTAR,MATCH(A41,PT_DIFFERENTIATION_NTAR_ID,0))</f>
        <v/>
      </c>
      <c r="AD41" s="2767"/>
      <c r="AE41" s="2767"/>
      <c r="AF41" s="2767"/>
      <c r="AG41" s="2767"/>
      <c r="AH41" s="2767"/>
      <c r="AI41" s="2767"/>
      <c r="AJ41" s="276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268</v>
      </c>
      <c r="B42" s="1281" t="s">
        <v>269</v>
      </c>
      <c r="C42" s="1281"/>
      <c r="D42" s="1281"/>
      <c r="E42" s="2779"/>
      <c r="F42" s="2778">
        <v>1</v>
      </c>
      <c r="G42" s="1281"/>
      <c r="H42" s="1281"/>
      <c r="I42" s="1281"/>
      <c r="J42" s="1281"/>
      <c r="K42" s="1281"/>
      <c r="L42" s="1282"/>
      <c r="M42" s="1283"/>
      <c r="N42" s="1283"/>
      <c r="O42" s="1283"/>
      <c r="P42" s="1405"/>
      <c r="Q42" s="287"/>
      <c r="R42" s="288"/>
      <c r="S42" s="1411" t="str">
        <f>INDEX(PT_DIFFERENTIATION_NUM_TER,MATCH(B42,PT_DIFFERENTIATION_TER_ID,0))</f>
        <v>.</v>
      </c>
      <c r="T42" s="244" t="s">
        <v>399</v>
      </c>
      <c r="U42" s="236"/>
      <c r="V42" s="2766"/>
      <c r="W42" s="2767"/>
      <c r="X42" s="2767"/>
      <c r="Y42" s="2767"/>
      <c r="Z42" s="2767"/>
      <c r="AA42" s="2767"/>
      <c r="AB42" s="2768"/>
      <c r="AC42" s="2766" t="str">
        <f>INDEX(PT_DIFFERENTIATION_TER,MATCH(B42,PT_DIFFERENTIATION_TER_ID,0))</f>
        <v/>
      </c>
      <c r="AD42" s="2767"/>
      <c r="AE42" s="2767"/>
      <c r="AF42" s="2767"/>
      <c r="AG42" s="2767"/>
      <c r="AH42" s="2767"/>
      <c r="AI42" s="2767"/>
      <c r="AJ42" s="2768"/>
      <c r="AK42" s="1176" t="s">
        <v>400</v>
      </c>
      <c r="AM42" s="435"/>
      <c r="AN42" s="435" t="str">
        <f t="shared" si="1"/>
        <v>Территория действия тарифа</v>
      </c>
      <c r="AO42" s="435"/>
      <c r="AP42" s="435"/>
      <c r="AQ42" s="1073">
        <v>23</v>
      </c>
    </row>
    <row r="43" spans="1:43" ht="24" customHeight="1">
      <c r="A43" s="1281" t="s">
        <v>268</v>
      </c>
      <c r="B43" s="1281" t="s">
        <v>269</v>
      </c>
      <c r="C43" s="1281" t="s">
        <v>270</v>
      </c>
      <c r="D43" s="1281"/>
      <c r="E43" s="2779"/>
      <c r="F43" s="2779"/>
      <c r="G43" s="2778">
        <v>1</v>
      </c>
      <c r="H43" s="1281"/>
      <c r="I43" s="1281"/>
      <c r="J43" s="1281"/>
      <c r="K43" s="1281"/>
      <c r="L43" s="1282"/>
      <c r="M43" s="1283"/>
      <c r="N43" s="1283"/>
      <c r="O43" s="1283"/>
      <c r="P43" s="289"/>
      <c r="Q43" s="287"/>
      <c r="R43" s="288"/>
      <c r="S43" s="1411" t="str">
        <f>INDEX(PT_DIFFERENTIATION_NUM_CS,MATCH(C43,PT_DIFFERENTIATION_CS_ID,0))</f>
        <v>..</v>
      </c>
      <c r="T43" s="245" t="s">
        <v>518</v>
      </c>
      <c r="U43" s="236"/>
      <c r="V43" s="2766"/>
      <c r="W43" s="2767"/>
      <c r="X43" s="2767"/>
      <c r="Y43" s="2767"/>
      <c r="Z43" s="2767"/>
      <c r="AA43" s="2767"/>
      <c r="AB43" s="2768"/>
      <c r="AC43" s="2766" t="str">
        <f>INDEX(PT_DIFFERENTIATION_CS,MATCH(C43,PT_DIFFERENTIATION_CS_ID,0))</f>
        <v/>
      </c>
      <c r="AD43" s="2767"/>
      <c r="AE43" s="2767"/>
      <c r="AF43" s="2767"/>
      <c r="AG43" s="2767"/>
      <c r="AH43" s="2767"/>
      <c r="AI43" s="2767"/>
      <c r="AJ43" s="2768"/>
      <c r="AK43" s="1176" t="s">
        <v>519</v>
      </c>
      <c r="AM43" s="435"/>
      <c r="AN43" s="435" t="str">
        <f t="shared" si="1"/>
        <v>Наименование централизованной системы водоотведения</v>
      </c>
      <c r="AO43" s="435"/>
      <c r="AP43" s="435"/>
      <c r="AQ43" s="1073">
        <v>23</v>
      </c>
    </row>
    <row r="44" spans="1:43" ht="24" customHeight="1">
      <c r="A44" s="1281" t="s">
        <v>268</v>
      </c>
      <c r="B44" s="1281" t="s">
        <v>269</v>
      </c>
      <c r="C44" s="1281" t="s">
        <v>270</v>
      </c>
      <c r="D44" s="1281" t="s">
        <v>522</v>
      </c>
      <c r="E44" s="2779"/>
      <c r="F44" s="2779"/>
      <c r="G44" s="2779"/>
      <c r="H44" s="2779"/>
      <c r="I44" s="2776" t="str">
        <f>S43&amp;".1"</f>
        <v>...1</v>
      </c>
      <c r="J44" s="1281"/>
      <c r="K44" s="1281"/>
      <c r="L44" s="1282"/>
      <c r="P44" s="2777">
        <v>1</v>
      </c>
      <c r="Q44" s="1399"/>
      <c r="R44" s="291"/>
      <c r="S44" s="1411" t="str">
        <f>$I44</f>
        <v>...1</v>
      </c>
      <c r="T44" s="221" t="s">
        <v>485</v>
      </c>
      <c r="U44" s="236"/>
      <c r="V44" s="2833"/>
      <c r="W44" s="2834"/>
      <c r="X44" s="2834"/>
      <c r="Y44" s="2834"/>
      <c r="Z44" s="2834"/>
      <c r="AA44" s="2834"/>
      <c r="AB44" s="2835"/>
      <c r="AC44" s="2836"/>
      <c r="AD44" s="2837"/>
      <c r="AE44" s="2837"/>
      <c r="AF44" s="2837"/>
      <c r="AG44" s="2837"/>
      <c r="AH44" s="2837"/>
      <c r="AI44" s="2837"/>
      <c r="AJ44" s="2838"/>
      <c r="AK44" s="1176" t="s">
        <v>486</v>
      </c>
      <c r="AM44" s="435"/>
      <c r="AN44" s="435" t="str">
        <f t="shared" si="1"/>
        <v>Наименование признака дифференциации</v>
      </c>
      <c r="AO44" s="435"/>
      <c r="AP44" s="435"/>
      <c r="AQ44" s="1073">
        <v>23</v>
      </c>
    </row>
    <row r="45" spans="1:43" ht="24" customHeight="1">
      <c r="A45" s="1281" t="s">
        <v>268</v>
      </c>
      <c r="B45" s="1281" t="s">
        <v>269</v>
      </c>
      <c r="C45" s="1281" t="s">
        <v>270</v>
      </c>
      <c r="D45" s="1281" t="s">
        <v>522</v>
      </c>
      <c r="E45" s="2779"/>
      <c r="F45" s="2779"/>
      <c r="G45" s="2779"/>
      <c r="H45" s="2779"/>
      <c r="I45" s="2787"/>
      <c r="J45" s="2776" t="str">
        <f>I44&amp;".1"</f>
        <v>...1.1</v>
      </c>
      <c r="K45" s="1281"/>
      <c r="L45" s="1282" t="s">
        <v>408</v>
      </c>
      <c r="P45" s="2777"/>
      <c r="Q45" s="2777">
        <v>1</v>
      </c>
      <c r="R45" s="292"/>
      <c r="S45" s="1411" t="str">
        <f>$J45</f>
        <v>...1.1</v>
      </c>
      <c r="T45" s="222" t="s">
        <v>409</v>
      </c>
      <c r="U45" s="236"/>
      <c r="V45" s="2769"/>
      <c r="W45" s="2770"/>
      <c r="X45" s="2770"/>
      <c r="Y45" s="2770"/>
      <c r="Z45" s="2770"/>
      <c r="AA45" s="2770"/>
      <c r="AB45" s="2771"/>
      <c r="AC45" s="2769"/>
      <c r="AD45" s="2770"/>
      <c r="AE45" s="2770"/>
      <c r="AF45" s="2770"/>
      <c r="AG45" s="2770"/>
      <c r="AH45" s="2770"/>
      <c r="AI45" s="2770"/>
      <c r="AJ45" s="2771"/>
      <c r="AK45" s="1225" t="s">
        <v>487</v>
      </c>
      <c r="AM45" s="435"/>
      <c r="AN45" s="435" t="str">
        <f t="shared" si="1"/>
        <v>Группа потребителей</v>
      </c>
      <c r="AO45" s="435"/>
      <c r="AP45" s="435"/>
      <c r="AQ45" s="1073">
        <v>23</v>
      </c>
    </row>
    <row r="46" spans="1:43" ht="24" customHeight="1">
      <c r="A46" s="1281" t="s">
        <v>268</v>
      </c>
      <c r="B46" s="1281" t="s">
        <v>269</v>
      </c>
      <c r="C46" s="1281" t="s">
        <v>270</v>
      </c>
      <c r="D46" s="1281" t="s">
        <v>522</v>
      </c>
      <c r="E46" s="2779"/>
      <c r="F46" s="2779"/>
      <c r="G46" s="2779"/>
      <c r="H46" s="2779"/>
      <c r="I46" s="2787"/>
      <c r="J46" s="2787"/>
      <c r="K46" s="2776" t="str">
        <f>J45&amp;".1"</f>
        <v>...1.1.1</v>
      </c>
      <c r="L46" s="1282"/>
      <c r="P46" s="2777"/>
      <c r="Q46" s="2777"/>
      <c r="R46" s="292">
        <v>1</v>
      </c>
      <c r="S46" s="1411" t="str">
        <f>$K46</f>
        <v>...1.1.1</v>
      </c>
      <c r="T46" s="1355"/>
      <c r="U46" s="236"/>
      <c r="V46" s="1278"/>
      <c r="W46" s="1278"/>
      <c r="X46" s="1279"/>
      <c r="Y46" s="2780"/>
      <c r="Z46" s="2781" t="s">
        <v>66</v>
      </c>
      <c r="AA46" s="2780"/>
      <c r="AB46" s="2781" t="s">
        <v>66</v>
      </c>
      <c r="AC46" s="686"/>
      <c r="AD46" s="686"/>
      <c r="AE46" s="1175"/>
      <c r="AF46" s="2753"/>
      <c r="AG46" s="2619" t="s">
        <v>66</v>
      </c>
      <c r="AH46" s="2788"/>
      <c r="AI46" s="2619" t="s">
        <v>19</v>
      </c>
      <c r="AJ46" s="1356"/>
      <c r="AK46" s="28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268</v>
      </c>
      <c r="B47" s="1281" t="s">
        <v>269</v>
      </c>
      <c r="C47" s="1281" t="s">
        <v>270</v>
      </c>
      <c r="D47" s="1281" t="s">
        <v>522</v>
      </c>
      <c r="E47" s="2779"/>
      <c r="F47" s="2779"/>
      <c r="G47" s="2779"/>
      <c r="H47" s="2779"/>
      <c r="I47" s="2787"/>
      <c r="J47" s="2787"/>
      <c r="K47" s="2776"/>
      <c r="L47" s="1282"/>
      <c r="P47" s="2777"/>
      <c r="Q47" s="2777"/>
      <c r="R47" s="292"/>
      <c r="S47" s="1408"/>
      <c r="T47" s="236"/>
      <c r="U47" s="236"/>
      <c r="V47" s="1278"/>
      <c r="W47" s="1278"/>
      <c r="X47" s="264" t="str">
        <f>Y46&amp;"-"&amp;AA46</f>
        <v>-</v>
      </c>
      <c r="Y47" s="2781"/>
      <c r="Z47" s="2781"/>
      <c r="AA47" s="2781"/>
      <c r="AB47" s="2781"/>
      <c r="AC47" s="261"/>
      <c r="AD47" s="261"/>
      <c r="AE47" s="264" t="str">
        <f>AF46&amp;"-"&amp;AH46</f>
        <v>-</v>
      </c>
      <c r="AF47" s="2752"/>
      <c r="AG47" s="2619"/>
      <c r="AH47" s="2789"/>
      <c r="AI47" s="2619"/>
      <c r="AJ47" s="1357"/>
      <c r="AK47" s="2832"/>
      <c r="AM47" s="435"/>
      <c r="AN47" s="435" t="str">
        <f t="shared" si="1"/>
        <v/>
      </c>
      <c r="AO47" s="435"/>
      <c r="AP47" s="435"/>
      <c r="AQ47" s="1073">
        <v>0</v>
      </c>
    </row>
    <row r="48" spans="1:43" ht="21" customHeight="1">
      <c r="A48" s="1281" t="s">
        <v>268</v>
      </c>
      <c r="B48" s="1281" t="s">
        <v>269</v>
      </c>
      <c r="C48" s="1281" t="s">
        <v>270</v>
      </c>
      <c r="D48" s="1281" t="s">
        <v>522</v>
      </c>
      <c r="E48" s="2779"/>
      <c r="F48" s="2779"/>
      <c r="G48" s="2779"/>
      <c r="H48" s="2779"/>
      <c r="I48" s="2787"/>
      <c r="J48" s="2776"/>
      <c r="K48" s="1281"/>
      <c r="L48" s="1282"/>
      <c r="P48" s="2777"/>
      <c r="Q48" s="2777"/>
      <c r="R48" s="291"/>
      <c r="S48" s="1196"/>
      <c r="T48" s="223" t="s">
        <v>488</v>
      </c>
      <c r="U48" s="302"/>
      <c r="V48" s="302"/>
      <c r="W48" s="302"/>
      <c r="X48" s="302"/>
      <c r="Y48" s="302"/>
      <c r="Z48" s="302"/>
      <c r="AA48" s="302"/>
      <c r="AB48" s="302"/>
      <c r="AC48" s="302"/>
      <c r="AD48" s="302"/>
      <c r="AE48" s="302"/>
      <c r="AF48" s="302"/>
      <c r="AG48" s="302"/>
      <c r="AH48" s="302"/>
      <c r="AI48" s="302"/>
      <c r="AJ48" s="302"/>
      <c r="AK48" s="1176" t="s">
        <v>489</v>
      </c>
      <c r="AM48" s="435"/>
      <c r="AN48" s="435" t="str">
        <f t="shared" si="1"/>
        <v>Добавить значение признака дифференциации</v>
      </c>
      <c r="AO48" s="435"/>
      <c r="AP48" s="435"/>
      <c r="AQ48" s="1073">
        <v>20</v>
      </c>
    </row>
    <row r="49" spans="1:43" ht="21.95" customHeight="1">
      <c r="A49" s="1281" t="s">
        <v>268</v>
      </c>
      <c r="B49" s="1281" t="s">
        <v>269</v>
      </c>
      <c r="C49" s="1281" t="s">
        <v>270</v>
      </c>
      <c r="D49" s="1281" t="s">
        <v>522</v>
      </c>
      <c r="E49" s="2779"/>
      <c r="F49" s="2779"/>
      <c r="G49" s="2779"/>
      <c r="H49" s="2779"/>
      <c r="I49" s="2776"/>
      <c r="J49" s="1281"/>
      <c r="K49" s="1281"/>
      <c r="L49" s="1282"/>
      <c r="P49" s="2777"/>
      <c r="Q49" s="1399"/>
      <c r="R49" s="291"/>
      <c r="S49" s="1196"/>
      <c r="T49" s="300" t="s">
        <v>414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268</v>
      </c>
      <c r="B50" s="1281" t="s">
        <v>269</v>
      </c>
      <c r="C50" s="1281" t="s">
        <v>270</v>
      </c>
      <c r="D50" s="1281" t="s">
        <v>522</v>
      </c>
      <c r="E50" s="2779"/>
      <c r="F50" s="2779"/>
      <c r="G50" s="2779"/>
      <c r="H50" s="2778"/>
      <c r="I50" s="1281"/>
      <c r="J50" s="1281"/>
      <c r="K50" s="1281"/>
      <c r="L50" s="1282"/>
      <c r="M50" s="1283"/>
      <c r="N50" s="1283"/>
      <c r="O50" s="472"/>
      <c r="P50" s="295"/>
      <c r="Q50" s="310"/>
      <c r="R50" s="290"/>
      <c r="S50" s="1196"/>
      <c r="T50" s="307" t="s">
        <v>490</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520" customFormat="1" ht="0" hidden="1" customHeight="1">
      <c r="A51" s="1261" t="s">
        <v>268</v>
      </c>
      <c r="B51" s="1261" t="s">
        <v>269</v>
      </c>
      <c r="C51" s="1232"/>
      <c r="D51" s="1232"/>
      <c r="E51" s="2779"/>
      <c r="F51" s="2778"/>
      <c r="G51" s="1232"/>
      <c r="H51" s="1232"/>
      <c r="I51" s="1232"/>
      <c r="J51" s="1232"/>
      <c r="K51" s="1232"/>
      <c r="L51" s="1412"/>
      <c r="M51" s="1239"/>
      <c r="N51" s="1239"/>
      <c r="P51" s="1234"/>
      <c r="Q51" s="1235"/>
      <c r="R51" s="1234"/>
      <c r="S51" s="1240"/>
      <c r="T51" s="1243" t="s">
        <v>161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520" customFormat="1" ht="0" hidden="1" customHeight="1">
      <c r="A52" s="1261" t="s">
        <v>268</v>
      </c>
      <c r="B52" s="1261"/>
      <c r="C52" s="1261"/>
      <c r="D52" s="1261"/>
      <c r="E52" s="2778"/>
      <c r="F52" s="1261"/>
      <c r="G52" s="1261"/>
      <c r="H52" s="1261"/>
      <c r="I52" s="1261"/>
      <c r="J52" s="1261"/>
      <c r="K52" s="1261"/>
      <c r="L52" s="1264"/>
      <c r="M52" s="1239"/>
      <c r="N52" s="1239"/>
      <c r="O52" s="453"/>
      <c r="P52" s="315"/>
      <c r="Q52" s="1262"/>
      <c r="R52" s="315"/>
      <c r="S52" s="1240"/>
      <c r="T52" s="1243" t="s">
        <v>162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520"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163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786"/>
      <c r="U55" s="2786"/>
      <c r="V55" s="2786"/>
      <c r="W55" s="2786"/>
      <c r="X55" s="2786"/>
      <c r="Y55" s="2786"/>
      <c r="Z55" s="2786"/>
      <c r="AA55" s="2786"/>
      <c r="AB55" s="2786"/>
      <c r="AC55" s="2786"/>
      <c r="AD55" s="2786"/>
      <c r="AE55" s="2786"/>
      <c r="AF55" s="2786"/>
      <c r="AG55" s="2786"/>
      <c r="AH55" s="2786"/>
      <c r="AI55" s="2786"/>
      <c r="AJ55" s="2786"/>
      <c r="AK55" s="2786"/>
      <c r="AQ55" s="1073">
        <v>14</v>
      </c>
    </row>
    <row r="56" spans="1:43" ht="14.65" customHeight="1">
      <c r="O56" s="472"/>
      <c r="AQ56" s="1073">
        <v>14</v>
      </c>
    </row>
    <row r="57" spans="1:43" ht="14.65" customHeight="1">
      <c r="O57" s="472"/>
      <c r="S57" s="1171"/>
      <c r="T57" s="2786"/>
      <c r="U57" s="2786"/>
      <c r="V57" s="2786"/>
      <c r="W57" s="2786"/>
      <c r="X57" s="2786"/>
      <c r="Y57" s="2786"/>
      <c r="Z57" s="2786"/>
      <c r="AA57" s="2786"/>
      <c r="AB57" s="2786"/>
      <c r="AC57" s="2786"/>
      <c r="AD57" s="2786"/>
      <c r="AE57" s="2786"/>
      <c r="AF57" s="2786"/>
      <c r="AG57" s="2786"/>
      <c r="AH57" s="2786"/>
      <c r="AI57" s="2786"/>
      <c r="AJ57" s="2786"/>
      <c r="AK57" s="2786"/>
      <c r="AQ57" s="1073">
        <v>14</v>
      </c>
    </row>
    <row r="58" spans="1:43" ht="22.5" hidden="1" customHeight="1">
      <c r="A58" s="1078" t="s">
        <v>81</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519" hidden="1"/>
    <col min="2" max="2" width="11" style="2519" hidden="1" customWidth="1"/>
    <col min="3" max="3" width="10.5703125" style="2519" hidden="1"/>
    <col min="4" max="4" width="11.85546875" style="2519" hidden="1" customWidth="1"/>
    <col min="5" max="5" width="10" style="2519" hidden="1" customWidth="1"/>
    <col min="6" max="6" width="8.7109375" style="2519" hidden="1" customWidth="1"/>
    <col min="7" max="7" width="7.5703125" style="2519" hidden="1" customWidth="1"/>
    <col min="8" max="8" width="11.42578125" style="2519" hidden="1" customWidth="1"/>
    <col min="9" max="9" width="14.140625" style="2519" hidden="1" customWidth="1"/>
    <col min="10" max="10" width="9.85546875" style="2519" hidden="1" customWidth="1"/>
    <col min="11" max="11" width="14.7109375" style="2519" hidden="1" customWidth="1"/>
    <col min="12" max="12" width="19.140625" style="2545" hidden="1" customWidth="1"/>
    <col min="13" max="14" width="12.28515625" style="2546" hidden="1" customWidth="1"/>
    <col min="15" max="15" width="23.42578125" style="2546" hidden="1" customWidth="1"/>
    <col min="16" max="16" width="3" style="2547" customWidth="1"/>
    <col min="17" max="18" width="3" style="2548" customWidth="1"/>
    <col min="19" max="19" width="12" style="2549" customWidth="1"/>
    <col min="20" max="20" width="35" style="2513" customWidth="1"/>
    <col min="21" max="21" width="0.140625" style="2513" customWidth="1"/>
    <col min="22" max="24" width="24.7109375" style="2513" hidden="1" customWidth="1"/>
    <col min="25" max="25" width="11.7109375" style="2513" hidden="1" customWidth="1"/>
    <col min="26" max="26" width="3.7109375" style="2513" hidden="1" customWidth="1"/>
    <col min="27" max="27" width="11.7109375" style="2513" hidden="1" customWidth="1"/>
    <col min="28" max="28" width="8.5703125" style="2513" hidden="1" customWidth="1"/>
    <col min="29" max="29" width="24.7109375" style="2513" customWidth="1"/>
    <col min="30" max="31" width="24" style="2513" customWidth="1"/>
    <col min="32" max="32" width="11" style="2513" customWidth="1"/>
    <col min="33" max="33" width="3.7109375" style="2513" customWidth="1"/>
    <col min="34" max="34" width="11" style="2513" customWidth="1"/>
    <col min="35" max="35" width="8.5703125" style="2513" hidden="1" customWidth="1"/>
    <col min="36" max="36" width="4" style="2513" customWidth="1"/>
    <col min="37" max="37" width="115" style="2513" customWidth="1"/>
    <col min="38" max="42" width="10" style="2520" customWidth="1"/>
    <col min="43" max="43" width="10.5703125" style="2513" hidden="1"/>
  </cols>
  <sheetData>
    <row r="1" spans="1:43" ht="22.5" hidden="1" customHeight="1">
      <c r="X1" s="263"/>
      <c r="Y1" s="263"/>
      <c r="AE1" s="263"/>
      <c r="AF1" s="263"/>
      <c r="AQ1" s="1073" t="s">
        <v>14</v>
      </c>
    </row>
    <row r="2" spans="1:43" ht="23.25" hidden="1" customHeight="1">
      <c r="A2" s="1281"/>
      <c r="B2" s="1281"/>
      <c r="C2" s="1281"/>
      <c r="D2" s="1281"/>
      <c r="E2" s="2778">
        <v>1</v>
      </c>
      <c r="F2" s="1281"/>
      <c r="G2" s="1281"/>
      <c r="H2" s="1281"/>
      <c r="I2" s="1281"/>
      <c r="J2" s="1281"/>
      <c r="K2" s="1281"/>
      <c r="L2" s="1282"/>
      <c r="M2" s="1283"/>
      <c r="N2" s="1283"/>
      <c r="O2" s="1283"/>
      <c r="P2" s="296"/>
      <c r="Q2" s="295"/>
      <c r="R2" s="290"/>
      <c r="S2" s="1411" t="e">
        <f>INDEX(PT_DIFFERENTIATION_NUM_NTAR,MATCH(A2,PT_DIFFERENTIATION_NTAR_ID,0))</f>
        <v>#N/A</v>
      </c>
      <c r="T2" s="234" t="s">
        <v>122</v>
      </c>
      <c r="U2" s="236"/>
      <c r="V2" s="2766"/>
      <c r="W2" s="2767"/>
      <c r="X2" s="2767"/>
      <c r="Y2" s="2767"/>
      <c r="Z2" s="2767"/>
      <c r="AA2" s="2767"/>
      <c r="AB2" s="2768"/>
      <c r="AC2" s="2766" t="e">
        <f>INDEX(PT_DIFFERENTIATION_NTAR,MATCH(A2,PT_DIFFERENTIATION_NTAR_ID,0))</f>
        <v>#N/A</v>
      </c>
      <c r="AD2" s="2767"/>
      <c r="AE2" s="2767"/>
      <c r="AF2" s="2767"/>
      <c r="AG2" s="2767"/>
      <c r="AH2" s="2767"/>
      <c r="AI2" s="2767"/>
      <c r="AJ2" s="276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779"/>
      <c r="F3" s="2778">
        <v>1</v>
      </c>
      <c r="G3" s="1281"/>
      <c r="H3" s="1281"/>
      <c r="I3" s="1281"/>
      <c r="J3" s="1281"/>
      <c r="K3" s="1281"/>
      <c r="L3" s="1282"/>
      <c r="M3" s="1283"/>
      <c r="N3" s="1283"/>
      <c r="O3" s="1283"/>
      <c r="P3" s="1405"/>
      <c r="Q3" s="287"/>
      <c r="R3" s="288"/>
      <c r="S3" s="1411" t="e">
        <f>INDEX(PT_DIFFERENTIATION_NUM_TER,MATCH(B3,PT_DIFFERENTIATION_TER_ID,0))</f>
        <v>#N/A</v>
      </c>
      <c r="T3" s="244" t="s">
        <v>399</v>
      </c>
      <c r="U3" s="236"/>
      <c r="V3" s="2766"/>
      <c r="W3" s="2767"/>
      <c r="X3" s="2767"/>
      <c r="Y3" s="2767"/>
      <c r="Z3" s="2767"/>
      <c r="AA3" s="2767"/>
      <c r="AB3" s="2768"/>
      <c r="AC3" s="2766" t="e">
        <f>INDEX(PT_DIFFERENTIATION_TER,MATCH(B3,PT_DIFFERENTIATION_TER_ID,0))</f>
        <v>#N/A</v>
      </c>
      <c r="AD3" s="2767"/>
      <c r="AE3" s="2767"/>
      <c r="AF3" s="2767"/>
      <c r="AG3" s="2767"/>
      <c r="AH3" s="2767"/>
      <c r="AI3" s="2767"/>
      <c r="AJ3" s="2768"/>
      <c r="AK3" s="1176" t="s">
        <v>400</v>
      </c>
      <c r="AM3" s="435"/>
      <c r="AN3" s="435" t="str">
        <f t="shared" si="0"/>
        <v>Территория действия тарифа</v>
      </c>
      <c r="AO3" s="435"/>
      <c r="AP3" s="435"/>
      <c r="AQ3" s="1073">
        <v>0</v>
      </c>
    </row>
    <row r="4" spans="1:43" ht="23.25" hidden="1" customHeight="1">
      <c r="A4" s="1281"/>
      <c r="B4" s="1281"/>
      <c r="C4" s="1281"/>
      <c r="D4" s="1281"/>
      <c r="E4" s="2779"/>
      <c r="F4" s="2779"/>
      <c r="G4" s="2778">
        <v>1</v>
      </c>
      <c r="H4" s="1281"/>
      <c r="I4" s="1281"/>
      <c r="J4" s="1281"/>
      <c r="K4" s="1281"/>
      <c r="L4" s="1282"/>
      <c r="M4" s="1283"/>
      <c r="N4" s="1283"/>
      <c r="O4" s="1283"/>
      <c r="P4" s="289"/>
      <c r="Q4" s="287"/>
      <c r="R4" s="288"/>
      <c r="S4" s="1411" t="e">
        <f>INDEX(PT_DIFFERENTIATION_NUM_CS,MATCH(C4,PT_DIFFERENTIATION_CS_ID,0))</f>
        <v>#N/A</v>
      </c>
      <c r="T4" s="245" t="s">
        <v>518</v>
      </c>
      <c r="U4" s="236"/>
      <c r="V4" s="2766"/>
      <c r="W4" s="2767"/>
      <c r="X4" s="2767"/>
      <c r="Y4" s="2767"/>
      <c r="Z4" s="2767"/>
      <c r="AA4" s="2767"/>
      <c r="AB4" s="2768"/>
      <c r="AC4" s="2766" t="e">
        <f>INDEX(PT_DIFFERENTIATION_CS,MATCH(C4,PT_DIFFERENTIATION_CS_ID,0))</f>
        <v>#N/A</v>
      </c>
      <c r="AD4" s="2767"/>
      <c r="AE4" s="2767"/>
      <c r="AF4" s="2767"/>
      <c r="AG4" s="2767"/>
      <c r="AH4" s="2767"/>
      <c r="AI4" s="2767"/>
      <c r="AJ4" s="2768"/>
      <c r="AK4" s="1176" t="s">
        <v>519</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779"/>
      <c r="F5" s="2779"/>
      <c r="G5" s="2779"/>
      <c r="H5" s="2779"/>
      <c r="I5" s="2776" t="e">
        <f>S4&amp;".1"</f>
        <v>#N/A</v>
      </c>
      <c r="J5" s="1281"/>
      <c r="K5" s="1281"/>
      <c r="L5" s="1282"/>
      <c r="P5" s="2777">
        <v>1</v>
      </c>
      <c r="Q5" s="1399"/>
      <c r="R5" s="291"/>
      <c r="S5" s="1411" t="e">
        <f>$I5</f>
        <v>#N/A</v>
      </c>
      <c r="T5" s="221" t="s">
        <v>485</v>
      </c>
      <c r="U5" s="236"/>
      <c r="V5" s="2833"/>
      <c r="W5" s="2834"/>
      <c r="X5" s="2834"/>
      <c r="Y5" s="2834"/>
      <c r="Z5" s="2834"/>
      <c r="AA5" s="2834"/>
      <c r="AB5" s="2835"/>
      <c r="AC5" s="2836"/>
      <c r="AD5" s="2837"/>
      <c r="AE5" s="2837"/>
      <c r="AF5" s="2837"/>
      <c r="AG5" s="2837"/>
      <c r="AH5" s="2837"/>
      <c r="AI5" s="2837"/>
      <c r="AJ5" s="2838"/>
      <c r="AK5" s="1176" t="s">
        <v>486</v>
      </c>
      <c r="AM5" s="435"/>
      <c r="AN5" s="435" t="str">
        <f t="shared" si="0"/>
        <v>Наименование признака дифференциации</v>
      </c>
      <c r="AO5" s="435"/>
      <c r="AP5" s="435"/>
      <c r="AQ5" s="1073">
        <v>0</v>
      </c>
    </row>
    <row r="6" spans="1:43" ht="23.25" hidden="1" customHeight="1">
      <c r="A6" s="1281"/>
      <c r="B6" s="1281"/>
      <c r="C6" s="1281"/>
      <c r="D6" s="1281"/>
      <c r="E6" s="2779"/>
      <c r="F6" s="2779"/>
      <c r="G6" s="2779"/>
      <c r="H6" s="2779"/>
      <c r="I6" s="2787"/>
      <c r="J6" s="2776" t="e">
        <f>I5&amp;".1"</f>
        <v>#N/A</v>
      </c>
      <c r="K6" s="1281"/>
      <c r="L6" s="1282" t="s">
        <v>408</v>
      </c>
      <c r="P6" s="2777"/>
      <c r="Q6" s="2777">
        <v>1</v>
      </c>
      <c r="R6" s="292"/>
      <c r="S6" s="1411" t="e">
        <f>$J6</f>
        <v>#N/A</v>
      </c>
      <c r="T6" s="222" t="s">
        <v>409</v>
      </c>
      <c r="U6" s="236"/>
      <c r="V6" s="2769"/>
      <c r="W6" s="2770"/>
      <c r="X6" s="2770"/>
      <c r="Y6" s="2770"/>
      <c r="Z6" s="2770"/>
      <c r="AA6" s="2770"/>
      <c r="AB6" s="2771"/>
      <c r="AC6" s="2769"/>
      <c r="AD6" s="2770"/>
      <c r="AE6" s="2770"/>
      <c r="AF6" s="2770"/>
      <c r="AG6" s="2770"/>
      <c r="AH6" s="2770"/>
      <c r="AI6" s="2770"/>
      <c r="AJ6" s="2771"/>
      <c r="AK6" s="1225" t="s">
        <v>487</v>
      </c>
      <c r="AM6" s="435"/>
      <c r="AN6" s="435" t="str">
        <f t="shared" si="0"/>
        <v>Группа потребителей</v>
      </c>
      <c r="AO6" s="435"/>
      <c r="AP6" s="435"/>
      <c r="AQ6" s="1073">
        <v>0</v>
      </c>
    </row>
    <row r="7" spans="1:43" ht="23.25" hidden="1" customHeight="1">
      <c r="A7" s="1281"/>
      <c r="B7" s="1281"/>
      <c r="C7" s="1281"/>
      <c r="D7" s="1281"/>
      <c r="E7" s="2779"/>
      <c r="F7" s="2779"/>
      <c r="G7" s="2779"/>
      <c r="H7" s="2779"/>
      <c r="I7" s="2787"/>
      <c r="J7" s="2787"/>
      <c r="K7" s="2776" t="e">
        <f>J6&amp;".1"</f>
        <v>#N/A</v>
      </c>
      <c r="L7" s="1282"/>
      <c r="P7" s="2777"/>
      <c r="Q7" s="2777"/>
      <c r="R7" s="292">
        <v>1</v>
      </c>
      <c r="S7" s="1411" t="e">
        <f>$K7</f>
        <v>#N/A</v>
      </c>
      <c r="T7" s="1355"/>
      <c r="U7" s="236"/>
      <c r="V7" s="686"/>
      <c r="W7" s="686"/>
      <c r="X7" s="1175"/>
      <c r="Y7" s="2753"/>
      <c r="Z7" s="2619" t="s">
        <v>66</v>
      </c>
      <c r="AA7" s="2753"/>
      <c r="AB7" s="2619" t="s">
        <v>66</v>
      </c>
      <c r="AC7" s="686"/>
      <c r="AD7" s="686"/>
      <c r="AE7" s="1175"/>
      <c r="AF7" s="2753"/>
      <c r="AG7" s="2619" t="s">
        <v>66</v>
      </c>
      <c r="AH7" s="2788"/>
      <c r="AI7" s="2619" t="s">
        <v>66</v>
      </c>
      <c r="AJ7" s="1356"/>
      <c r="AK7" s="28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779"/>
      <c r="F8" s="2779"/>
      <c r="G8" s="2779"/>
      <c r="H8" s="2779"/>
      <c r="I8" s="2787"/>
      <c r="J8" s="2787"/>
      <c r="K8" s="2776"/>
      <c r="L8" s="1282"/>
      <c r="P8" s="2777"/>
      <c r="Q8" s="2777"/>
      <c r="R8" s="292"/>
      <c r="S8" s="1408"/>
      <c r="T8" s="236"/>
      <c r="U8" s="236"/>
      <c r="V8" s="261"/>
      <c r="W8" s="261"/>
      <c r="X8" s="264" t="str">
        <f>Y7&amp;"-"&amp;AA7</f>
        <v>-</v>
      </c>
      <c r="Y8" s="2752"/>
      <c r="Z8" s="2619"/>
      <c r="AA8" s="2752"/>
      <c r="AB8" s="2619"/>
      <c r="AC8" s="261"/>
      <c r="AD8" s="261"/>
      <c r="AE8" s="264" t="str">
        <f>AF7&amp;"-"&amp;AH7</f>
        <v>-</v>
      </c>
      <c r="AF8" s="2752"/>
      <c r="AG8" s="2619"/>
      <c r="AH8" s="2789"/>
      <c r="AI8" s="2619"/>
      <c r="AJ8" s="1357"/>
      <c r="AK8" s="2832"/>
      <c r="AM8" s="435"/>
      <c r="AN8" s="435" t="str">
        <f t="shared" si="0"/>
        <v/>
      </c>
      <c r="AO8" s="435"/>
      <c r="AP8" s="435"/>
      <c r="AQ8" s="1073">
        <v>0</v>
      </c>
    </row>
    <row r="9" spans="1:43" ht="21" hidden="1" customHeight="1">
      <c r="A9" s="1281"/>
      <c r="B9" s="1281"/>
      <c r="C9" s="1281"/>
      <c r="D9" s="1281"/>
      <c r="E9" s="2779"/>
      <c r="F9" s="2779"/>
      <c r="G9" s="2779"/>
      <c r="H9" s="2779"/>
      <c r="I9" s="2787"/>
      <c r="J9" s="2776"/>
      <c r="K9" s="1281"/>
      <c r="L9" s="1282"/>
      <c r="P9" s="2777"/>
      <c r="Q9" s="2777"/>
      <c r="R9" s="291"/>
      <c r="S9" s="1196"/>
      <c r="T9" s="223" t="s">
        <v>488</v>
      </c>
      <c r="U9" s="302"/>
      <c r="V9" s="302"/>
      <c r="W9" s="302"/>
      <c r="X9" s="302"/>
      <c r="Y9" s="302"/>
      <c r="Z9" s="302"/>
      <c r="AA9" s="302"/>
      <c r="AB9" s="302"/>
      <c r="AC9" s="302"/>
      <c r="AD9" s="302"/>
      <c r="AE9" s="302"/>
      <c r="AF9" s="302"/>
      <c r="AG9" s="302"/>
      <c r="AH9" s="302"/>
      <c r="AI9" s="302"/>
      <c r="AJ9" s="302"/>
      <c r="AK9" s="1176" t="s">
        <v>489</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779"/>
      <c r="F10" s="2779"/>
      <c r="G10" s="2779"/>
      <c r="H10" s="2779"/>
      <c r="I10" s="2776"/>
      <c r="J10" s="1281"/>
      <c r="K10" s="1281"/>
      <c r="L10" s="1282"/>
      <c r="P10" s="2777"/>
      <c r="Q10" s="1399"/>
      <c r="R10" s="291"/>
      <c r="S10" s="1196"/>
      <c r="T10" s="300" t="s">
        <v>414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779"/>
      <c r="F11" s="2779"/>
      <c r="G11" s="2779"/>
      <c r="H11" s="2778"/>
      <c r="I11" s="1281"/>
      <c r="J11" s="1281"/>
      <c r="K11" s="1281"/>
      <c r="L11" s="1282"/>
      <c r="M11" s="1283"/>
      <c r="N11" s="1283"/>
      <c r="O11" s="472"/>
      <c r="P11" s="295"/>
      <c r="Q11" s="310"/>
      <c r="R11" s="290"/>
      <c r="S11" s="1196"/>
      <c r="T11" s="307" t="s">
        <v>490</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520" customFormat="1" ht="14.25" hidden="1" customHeight="1">
      <c r="A12" s="1261"/>
      <c r="B12" s="1261"/>
      <c r="C12" s="1232"/>
      <c r="D12" s="1232"/>
      <c r="E12" s="2779"/>
      <c r="F12" s="2778"/>
      <c r="G12" s="1232"/>
      <c r="H12" s="1232"/>
      <c r="I12" s="1232"/>
      <c r="J12" s="1232"/>
      <c r="K12" s="1232"/>
      <c r="L12" s="1412"/>
      <c r="M12" s="1239"/>
      <c r="N12" s="1239"/>
      <c r="P12" s="1234"/>
      <c r="Q12" s="1235"/>
      <c r="R12" s="1234"/>
      <c r="S12" s="1240"/>
      <c r="T12" s="1243" t="s">
        <v>161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520" customFormat="1" ht="14.25" hidden="1" customHeight="1">
      <c r="A13" s="1261"/>
      <c r="B13" s="1261"/>
      <c r="C13" s="1261"/>
      <c r="D13" s="1261"/>
      <c r="E13" s="2778"/>
      <c r="F13" s="1261"/>
      <c r="G13" s="1261"/>
      <c r="H13" s="1261"/>
      <c r="I13" s="1261"/>
      <c r="J13" s="1261"/>
      <c r="K13" s="1261"/>
      <c r="L13" s="1264"/>
      <c r="M13" s="1239"/>
      <c r="N13" s="1239"/>
      <c r="O13" s="453"/>
      <c r="P13" s="315"/>
      <c r="Q13" s="1262"/>
      <c r="R13" s="315"/>
      <c r="S13" s="1240"/>
      <c r="T13" s="1243" t="s">
        <v>162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780"/>
      <c r="AG15" s="2781" t="s">
        <v>66</v>
      </c>
      <c r="AH15" s="2780"/>
      <c r="AI15" s="2781" t="s">
        <v>66</v>
      </c>
      <c r="AQ15" s="1073">
        <v>0</v>
      </c>
    </row>
    <row r="16" spans="1:43" ht="14.25" hidden="1" customHeight="1">
      <c r="AC16" s="1278"/>
      <c r="AD16" s="1278"/>
      <c r="AE16" s="264" t="str">
        <f>AF15&amp;"-"&amp;AH15</f>
        <v>-</v>
      </c>
      <c r="AF16" s="2781"/>
      <c r="AG16" s="2781"/>
      <c r="AH16" s="2781"/>
      <c r="AI16" s="2781"/>
      <c r="AQ16" s="1073">
        <v>0</v>
      </c>
    </row>
    <row r="17" spans="1:43" ht="14.25" hidden="1" customHeight="1">
      <c r="AI17" s="263"/>
      <c r="AQ17" s="1073">
        <v>0</v>
      </c>
    </row>
    <row r="18" spans="1:43" s="2519" customFormat="1" ht="22.5" hidden="1" customHeight="1">
      <c r="L18" s="1396"/>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519"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519" customFormat="1" ht="12" hidden="1" customHeight="1">
      <c r="L20" s="1396"/>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74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49"/>
      <c r="U24" s="2749"/>
      <c r="V24" s="2749"/>
      <c r="W24" s="2749"/>
      <c r="X24" s="2749"/>
      <c r="Y24" s="2749"/>
      <c r="Z24" s="2749"/>
      <c r="AA24" s="2749"/>
      <c r="AB24" s="2749"/>
      <c r="AC24" s="2749"/>
      <c r="AD24" s="2749"/>
      <c r="AE24" s="2749"/>
      <c r="AF24" s="2749"/>
      <c r="AG24" s="2749"/>
      <c r="AH24" s="2749"/>
      <c r="AI24" s="1161"/>
      <c r="AQ24" s="1073">
        <v>14</v>
      </c>
    </row>
    <row r="25" spans="1:43" ht="14.65" customHeight="1">
      <c r="Q25" s="311"/>
      <c r="R25" s="311"/>
      <c r="S25" s="2696" t="str">
        <f>IF(org=0,"Не определено",org)</f>
        <v>ООО "Ноябрьская ПГЭ"</v>
      </c>
      <c r="T25" s="2696"/>
      <c r="U25" s="2696"/>
      <c r="V25" s="2696"/>
      <c r="W25" s="2696"/>
      <c r="X25" s="2696"/>
      <c r="Y25" s="2696"/>
      <c r="Z25" s="2696"/>
      <c r="AA25" s="2696"/>
      <c r="AB25" s="2696"/>
      <c r="AC25" s="2696"/>
      <c r="AD25" s="2696"/>
      <c r="AE25" s="2696"/>
      <c r="AF25" s="2696"/>
      <c r="AG25" s="2696"/>
      <c r="AH25" s="2696"/>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529" customFormat="1" ht="25.5" hidden="1" customHeight="1">
      <c r="A27" s="1286"/>
      <c r="B27" s="1286"/>
      <c r="C27" s="1286"/>
      <c r="D27" s="1286"/>
      <c r="E27" s="1286"/>
      <c r="F27" s="1286"/>
      <c r="G27" s="1286"/>
      <c r="H27" s="1286"/>
      <c r="I27" s="1286"/>
      <c r="J27" s="1286"/>
      <c r="K27" s="1286"/>
      <c r="L27" s="1287"/>
      <c r="M27" s="1286"/>
      <c r="N27" s="1286"/>
      <c r="O27" s="1286"/>
      <c r="S27" s="2772" t="s">
        <v>42</v>
      </c>
      <c r="T27" s="2772"/>
      <c r="U27" s="1290"/>
      <c r="V27" s="2754" t="str">
        <f>IF(TITLE_NAME_OR_PR_CHANGE="",IF(TITLE_NAME_OR_PR="","",TITLE_NAME_OR_PR),TITLE_NAME_OR_PR_CHANGE)</f>
        <v/>
      </c>
      <c r="W27" s="2754"/>
      <c r="X27" s="2754"/>
      <c r="Y27" s="2754"/>
      <c r="Z27" s="2754"/>
      <c r="AA27" s="2754"/>
      <c r="AB27" s="262"/>
      <c r="AC27" s="2754" t="str">
        <f>IF(TITLE_NAME_OR_PR_CHANGE="",IF(TITLE_NAME_OR_PR="","",TITLE_NAME_OR_PR),TITLE_NAME_OR_PR_CHANGE)</f>
        <v/>
      </c>
      <c r="AD27" s="2754"/>
      <c r="AE27" s="2754"/>
      <c r="AF27" s="2754"/>
      <c r="AG27" s="2754"/>
      <c r="AH27" s="2754"/>
      <c r="AI27" s="262"/>
      <c r="AJ27" s="262"/>
      <c r="AK27" s="216"/>
      <c r="AL27" s="303"/>
      <c r="AM27" s="303"/>
      <c r="AN27" s="303"/>
      <c r="AO27" s="303"/>
      <c r="AP27" s="303"/>
      <c r="AQ27" s="353">
        <v>0</v>
      </c>
    </row>
    <row r="28" spans="1:43" s="2529" customFormat="1" ht="18.75" hidden="1" customHeight="1">
      <c r="A28" s="1286"/>
      <c r="B28" s="1286"/>
      <c r="C28" s="1286"/>
      <c r="D28" s="1286"/>
      <c r="E28" s="1286"/>
      <c r="F28" s="1286"/>
      <c r="G28" s="1286"/>
      <c r="H28" s="1286"/>
      <c r="I28" s="1286"/>
      <c r="J28" s="1286"/>
      <c r="K28" s="1286"/>
      <c r="L28" s="1287"/>
      <c r="M28" s="1286"/>
      <c r="N28" s="1286"/>
      <c r="O28" s="1286"/>
      <c r="S28" s="2772" t="s">
        <v>422</v>
      </c>
      <c r="T28" s="2772"/>
      <c r="U28" s="1290"/>
      <c r="V28" s="2755">
        <f>IF(TITLE_DATE_PR_CHANGE="",IF(TITLE_DATE_PR="","",TITLE_DATE_PR),TITLE_DATE_PR_CHANGE)</f>
        <v>45583</v>
      </c>
      <c r="W28" s="2755"/>
      <c r="X28" s="2755"/>
      <c r="Y28" s="2755"/>
      <c r="Z28" s="2755"/>
      <c r="AA28" s="2755"/>
      <c r="AB28" s="262"/>
      <c r="AC28" s="2755">
        <f>IF(TITLE_DATE_PR_CHANGE="",IF(TITLE_DATE_PR="","",TITLE_DATE_PR),TITLE_DATE_PR_CHANGE)</f>
        <v>45583</v>
      </c>
      <c r="AD28" s="2755"/>
      <c r="AE28" s="2755"/>
      <c r="AF28" s="2755"/>
      <c r="AG28" s="2755"/>
      <c r="AH28" s="2755"/>
      <c r="AI28" s="262"/>
      <c r="AJ28" s="262"/>
      <c r="AK28" s="216"/>
      <c r="AL28" s="303"/>
      <c r="AM28" s="303"/>
      <c r="AN28" s="303"/>
      <c r="AO28" s="303"/>
      <c r="AP28" s="303"/>
      <c r="AQ28" s="353">
        <v>0</v>
      </c>
    </row>
    <row r="29" spans="1:43" s="2529" customFormat="1" ht="18.75" hidden="1" customHeight="1">
      <c r="A29" s="1286"/>
      <c r="B29" s="1286"/>
      <c r="C29" s="1286"/>
      <c r="D29" s="1286"/>
      <c r="E29" s="1286"/>
      <c r="F29" s="1286"/>
      <c r="G29" s="1286"/>
      <c r="H29" s="1286"/>
      <c r="I29" s="1286"/>
      <c r="J29" s="1286"/>
      <c r="K29" s="1286"/>
      <c r="L29" s="1287"/>
      <c r="M29" s="1286"/>
      <c r="N29" s="1286"/>
      <c r="O29" s="1286"/>
      <c r="S29" s="2772" t="s">
        <v>423</v>
      </c>
      <c r="T29" s="2772"/>
      <c r="U29" s="1290"/>
      <c r="V29" s="2754" t="str">
        <f>IF(TITLE_NUMBER_PR_CHANGE="",IF(TITLE_NUMBER_PR="","",TITLE_NUMBER_PR),TITLE_NUMBER_PR_CHANGE)</f>
        <v>18-3341</v>
      </c>
      <c r="W29" s="2754"/>
      <c r="X29" s="2754"/>
      <c r="Y29" s="2754"/>
      <c r="Z29" s="2754"/>
      <c r="AA29" s="2754"/>
      <c r="AB29" s="262"/>
      <c r="AC29" s="2754" t="str">
        <f>IF(TITLE_NUMBER_PR_CHANGE="",IF(TITLE_NUMBER_PR="","",TITLE_NUMBER_PR),TITLE_NUMBER_PR_CHANGE)</f>
        <v>18-3341</v>
      </c>
      <c r="AD29" s="2754"/>
      <c r="AE29" s="2754"/>
      <c r="AF29" s="2754"/>
      <c r="AG29" s="2754"/>
      <c r="AH29" s="2754"/>
      <c r="AI29" s="262"/>
      <c r="AJ29" s="262"/>
      <c r="AK29" s="216"/>
      <c r="AL29" s="303"/>
      <c r="AM29" s="303"/>
      <c r="AN29" s="303"/>
      <c r="AO29" s="303"/>
      <c r="AP29" s="303"/>
      <c r="AQ29" s="353">
        <v>0</v>
      </c>
    </row>
    <row r="30" spans="1:43" s="2529" customFormat="1" ht="18.75" hidden="1" customHeight="1">
      <c r="A30" s="1286"/>
      <c r="B30" s="1286"/>
      <c r="C30" s="1286"/>
      <c r="D30" s="1286"/>
      <c r="E30" s="1286"/>
      <c r="F30" s="1286"/>
      <c r="G30" s="1286"/>
      <c r="H30" s="1286"/>
      <c r="I30" s="1286"/>
      <c r="J30" s="1286"/>
      <c r="K30" s="1286"/>
      <c r="L30" s="1287"/>
      <c r="M30" s="1286"/>
      <c r="N30" s="1286"/>
      <c r="O30" s="1286"/>
      <c r="S30" s="2772" t="s">
        <v>43</v>
      </c>
      <c r="T30" s="2772"/>
      <c r="U30" s="1290"/>
      <c r="V30" s="2754" t="str">
        <f>IF(TITLE_IST_PUB_CHANGE="",IF(TITLE_IST_PUB="","",TITLE_IST_PUB),TITLE_IST_PUB_CHANGE)</f>
        <v/>
      </c>
      <c r="W30" s="2754"/>
      <c r="X30" s="2754"/>
      <c r="Y30" s="2754"/>
      <c r="Z30" s="2754"/>
      <c r="AA30" s="2754"/>
      <c r="AB30" s="262"/>
      <c r="AC30" s="2754" t="str">
        <f>IF(TITLE_IST_PUB_CHANGE="",IF(TITLE_IST_PUB="","",TITLE_IST_PUB),TITLE_IST_PUB_CHANGE)</f>
        <v/>
      </c>
      <c r="AD30" s="2754"/>
      <c r="AE30" s="2754"/>
      <c r="AF30" s="2754"/>
      <c r="AG30" s="2754"/>
      <c r="AH30" s="2754"/>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529" customFormat="1" ht="18.75" customHeight="1">
      <c r="A32" s="1286"/>
      <c r="B32" s="1286"/>
      <c r="C32" s="1286"/>
      <c r="D32" s="1286"/>
      <c r="E32" s="1286"/>
      <c r="F32" s="1286"/>
      <c r="G32" s="1286"/>
      <c r="H32" s="1286"/>
      <c r="I32" s="1286"/>
      <c r="J32" s="1286"/>
      <c r="K32" s="1286"/>
      <c r="L32" s="1287"/>
      <c r="M32" s="1286"/>
      <c r="N32" s="1286"/>
      <c r="O32" s="1286"/>
      <c r="S32" s="2772" t="s">
        <v>424</v>
      </c>
      <c r="T32" s="2772"/>
      <c r="U32" s="1290"/>
      <c r="V32" s="2755">
        <f>IF(TITLE_DATE_PR_CHANGE="",IF(TITLE_DATE_PR="","",TITLE_DATE_PR),TITLE_DATE_PR_CHANGE)</f>
        <v>45583</v>
      </c>
      <c r="W32" s="2755"/>
      <c r="X32" s="2755"/>
      <c r="Y32" s="2755"/>
      <c r="Z32" s="2755"/>
      <c r="AA32" s="2755"/>
      <c r="AB32" s="262"/>
      <c r="AC32" s="2755">
        <f>IF(TITLE_DATE_PR_CHANGE="",IF(TITLE_DATE_PR="","",TITLE_DATE_PR),TITLE_DATE_PR_CHANGE)</f>
        <v>45583</v>
      </c>
      <c r="AD32" s="2755"/>
      <c r="AE32" s="2755"/>
      <c r="AF32" s="2755"/>
      <c r="AG32" s="2755"/>
      <c r="AH32" s="2755"/>
      <c r="AI32" s="262"/>
      <c r="AJ32" s="262"/>
      <c r="AK32" s="216"/>
      <c r="AL32" s="303"/>
      <c r="AM32" s="303"/>
      <c r="AN32" s="303"/>
      <c r="AO32" s="303"/>
      <c r="AP32" s="303"/>
      <c r="AQ32" s="353">
        <v>0</v>
      </c>
    </row>
    <row r="33" spans="1:43" s="2529" customFormat="1" ht="18.75" customHeight="1">
      <c r="A33" s="1286"/>
      <c r="B33" s="1286"/>
      <c r="C33" s="1286"/>
      <c r="D33" s="1286"/>
      <c r="E33" s="1286"/>
      <c r="F33" s="1286"/>
      <c r="G33" s="1286"/>
      <c r="H33" s="1286"/>
      <c r="I33" s="1286"/>
      <c r="J33" s="1286"/>
      <c r="K33" s="1286"/>
      <c r="L33" s="1287"/>
      <c r="M33" s="1286"/>
      <c r="N33" s="1286"/>
      <c r="O33" s="1286"/>
      <c r="S33" s="2772" t="s">
        <v>425</v>
      </c>
      <c r="T33" s="2772"/>
      <c r="U33" s="1290"/>
      <c r="V33" s="2754" t="str">
        <f>IF(TITLE_NUMBER_PR_CHANGE="",IF(TITLE_NUMBER_PR="","",TITLE_NUMBER_PR),TITLE_NUMBER_PR_CHANGE)</f>
        <v>18-3341</v>
      </c>
      <c r="W33" s="2754"/>
      <c r="X33" s="2754"/>
      <c r="Y33" s="2754"/>
      <c r="Z33" s="2754"/>
      <c r="AA33" s="2754"/>
      <c r="AB33" s="262"/>
      <c r="AC33" s="2754" t="str">
        <f>IF(TITLE_NUMBER_PR_CHANGE="",IF(TITLE_NUMBER_PR="","",TITLE_NUMBER_PR),TITLE_NUMBER_PR_CHANGE)</f>
        <v>18-3341</v>
      </c>
      <c r="AD33" s="2754"/>
      <c r="AE33" s="2754"/>
      <c r="AF33" s="2754"/>
      <c r="AG33" s="2754"/>
      <c r="AH33" s="2754"/>
      <c r="AI33" s="262"/>
      <c r="AJ33" s="262"/>
      <c r="AK33" s="216"/>
      <c r="AL33" s="303"/>
      <c r="AM33" s="303"/>
      <c r="AN33" s="303"/>
      <c r="AO33" s="303"/>
      <c r="AP33" s="303"/>
      <c r="AQ33" s="353">
        <v>0</v>
      </c>
    </row>
    <row r="34" spans="1:43" s="2529"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756"/>
      <c r="W35" s="2756"/>
      <c r="X35" s="2756"/>
      <c r="Y35" s="2756"/>
      <c r="Z35" s="2756"/>
      <c r="AA35" s="2756"/>
      <c r="AB35" s="2756"/>
      <c r="AC35" s="2756"/>
      <c r="AD35" s="2756"/>
      <c r="AE35" s="2756"/>
      <c r="AF35" s="2756"/>
      <c r="AG35" s="2756"/>
      <c r="AH35" s="2756"/>
      <c r="AI35" s="2756"/>
      <c r="AQ35" s="1073">
        <v>14</v>
      </c>
    </row>
    <row r="36" spans="1:43" ht="14.65" customHeight="1">
      <c r="Q36" s="311"/>
      <c r="R36" s="311"/>
      <c r="S36" s="2638" t="s">
        <v>302</v>
      </c>
      <c r="T36" s="2638"/>
      <c r="U36" s="2638"/>
      <c r="V36" s="2638"/>
      <c r="W36" s="2638"/>
      <c r="X36" s="2638"/>
      <c r="Y36" s="2638"/>
      <c r="Z36" s="2638"/>
      <c r="AA36" s="2638"/>
      <c r="AB36" s="2638"/>
      <c r="AC36" s="2638"/>
      <c r="AD36" s="2638"/>
      <c r="AE36" s="2638"/>
      <c r="AF36" s="2638"/>
      <c r="AG36" s="2638"/>
      <c r="AH36" s="2638"/>
      <c r="AI36" s="2638"/>
      <c r="AJ36" s="2638"/>
      <c r="AK36" s="2638" t="s">
        <v>303</v>
      </c>
      <c r="AQ36" s="1073">
        <v>14</v>
      </c>
    </row>
    <row r="37" spans="1:43" ht="14.65" customHeight="1">
      <c r="Q37" s="311"/>
      <c r="R37" s="311"/>
      <c r="S37" s="2782" t="s">
        <v>87</v>
      </c>
      <c r="T37" s="2724" t="s">
        <v>428</v>
      </c>
      <c r="U37" s="237"/>
      <c r="V37" s="2757" t="s">
        <v>429</v>
      </c>
      <c r="W37" s="2758"/>
      <c r="X37" s="2758"/>
      <c r="Y37" s="2758"/>
      <c r="Z37" s="2758"/>
      <c r="AA37" s="2759"/>
      <c r="AB37" s="2760" t="s">
        <v>430</v>
      </c>
      <c r="AC37" s="2757" t="s">
        <v>429</v>
      </c>
      <c r="AD37" s="2758"/>
      <c r="AE37" s="2758"/>
      <c r="AF37" s="2758"/>
      <c r="AG37" s="2758"/>
      <c r="AH37" s="2759"/>
      <c r="AI37" s="2760" t="s">
        <v>431</v>
      </c>
      <c r="AJ37" s="2783" t="s">
        <v>432</v>
      </c>
      <c r="AK37" s="2638"/>
      <c r="AQ37" s="1073">
        <v>14</v>
      </c>
    </row>
    <row r="38" spans="1:43" ht="35.65" customHeight="1">
      <c r="Q38" s="311"/>
      <c r="R38" s="311"/>
      <c r="S38" s="2782"/>
      <c r="T38" s="2724"/>
      <c r="U38" s="953"/>
      <c r="V38" s="1401" t="s">
        <v>491</v>
      </c>
      <c r="W38" s="2610" t="s">
        <v>435</v>
      </c>
      <c r="X38" s="2609"/>
      <c r="Y38" s="2610" t="s">
        <v>436</v>
      </c>
      <c r="Z38" s="2615"/>
      <c r="AA38" s="2609"/>
      <c r="AB38" s="2761"/>
      <c r="AC38" s="1401" t="s">
        <v>491</v>
      </c>
      <c r="AD38" s="2610" t="s">
        <v>435</v>
      </c>
      <c r="AE38" s="2609"/>
      <c r="AF38" s="2610" t="s">
        <v>436</v>
      </c>
      <c r="AG38" s="2615"/>
      <c r="AH38" s="2609"/>
      <c r="AI38" s="2761"/>
      <c r="AJ38" s="2784"/>
      <c r="AK38" s="2638"/>
      <c r="AQ38" s="1073">
        <v>34</v>
      </c>
    </row>
    <row r="39" spans="1:43" ht="90.4" customHeight="1">
      <c r="A39" s="1288"/>
      <c r="B39" s="1288" t="s">
        <v>134</v>
      </c>
      <c r="C39" s="1288" t="s">
        <v>135</v>
      </c>
      <c r="D39" s="1288" t="s">
        <v>136</v>
      </c>
      <c r="E39" s="1282" t="s">
        <v>437</v>
      </c>
      <c r="F39" s="1282" t="s">
        <v>438</v>
      </c>
      <c r="G39" s="1282" t="s">
        <v>439</v>
      </c>
      <c r="H39" s="1282"/>
      <c r="I39" s="1282" t="s">
        <v>492</v>
      </c>
      <c r="J39" s="1282" t="s">
        <v>442</v>
      </c>
      <c r="K39" s="1282" t="s">
        <v>493</v>
      </c>
      <c r="L39" s="1282" t="s">
        <v>417</v>
      </c>
      <c r="Q39" s="311"/>
      <c r="R39" s="311"/>
      <c r="S39" s="2782"/>
      <c r="T39" s="2724"/>
      <c r="U39" s="238"/>
      <c r="V39" s="1401" t="s">
        <v>520</v>
      </c>
      <c r="W39" s="1140" t="s">
        <v>521</v>
      </c>
      <c r="X39" s="1140" t="s">
        <v>496</v>
      </c>
      <c r="Y39" s="1407" t="s">
        <v>446</v>
      </c>
      <c r="Z39" s="2733" t="s">
        <v>447</v>
      </c>
      <c r="AA39" s="2735"/>
      <c r="AB39" s="2762"/>
      <c r="AC39" s="1401" t="s">
        <v>520</v>
      </c>
      <c r="AD39" s="1140" t="s">
        <v>521</v>
      </c>
      <c r="AE39" s="1140" t="s">
        <v>496</v>
      </c>
      <c r="AF39" s="1407" t="s">
        <v>446</v>
      </c>
      <c r="AG39" s="2733" t="s">
        <v>447</v>
      </c>
      <c r="AH39" s="2735"/>
      <c r="AI39" s="2762"/>
      <c r="AJ39" s="2785"/>
      <c r="AK39" s="2638"/>
      <c r="AQ39" s="1073">
        <v>86</v>
      </c>
    </row>
    <row r="40" spans="1:43" s="2544"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108</v>
      </c>
      <c r="T40" s="1173" t="s">
        <v>109</v>
      </c>
      <c r="U40" s="1163" t="str">
        <f ca="1">OFFSET(U40,0,-1)</f>
        <v>2</v>
      </c>
      <c r="V40" s="1400">
        <f ca="1">OFFSET(V40,0,-1)+1</f>
        <v>3</v>
      </c>
      <c r="W40" s="1400">
        <f ca="1">OFFSET(W40,0,-1)+1</f>
        <v>4</v>
      </c>
      <c r="X40" s="1400">
        <f ca="1">OFFSET(X40,0,-1)+1</f>
        <v>5</v>
      </c>
      <c r="Y40" s="1400">
        <f ca="1">OFFSET(Y40,0,-1)+1</f>
        <v>6</v>
      </c>
      <c r="Z40" s="2765">
        <f ca="1">OFFSET(Z40,0,-1)+1</f>
        <v>7</v>
      </c>
      <c r="AA40" s="2765"/>
      <c r="AB40" s="1400">
        <f ca="1">OFFSET(AB40,0,-2)+1</f>
        <v>8</v>
      </c>
      <c r="AC40" s="1400">
        <f ca="1">OFFSET(AC40,0,-1)+1</f>
        <v>9</v>
      </c>
      <c r="AD40" s="1400">
        <f ca="1">OFFSET(AD40,0,-1)+1</f>
        <v>10</v>
      </c>
      <c r="AE40" s="1400">
        <f ca="1">OFFSET(AE40,0,-1)+1</f>
        <v>11</v>
      </c>
      <c r="AF40" s="1400">
        <f ca="1">OFFSET(AF40,0,-1)+1</f>
        <v>12</v>
      </c>
      <c r="AG40" s="2765">
        <f ca="1">OFFSET(AG40,0,-1)+1</f>
        <v>13</v>
      </c>
      <c r="AH40" s="2765"/>
      <c r="AI40" s="1400">
        <f ca="1">OFFSET(AI40,0,-2)+1</f>
        <v>14</v>
      </c>
      <c r="AJ40" s="1163">
        <f ca="1">OFFSET(AJ40,0,-1)</f>
        <v>14</v>
      </c>
      <c r="AK40" s="1400">
        <f ca="1">OFFSET(AK40,0,-1)+1</f>
        <v>15</v>
      </c>
      <c r="AL40" s="446"/>
      <c r="AM40" s="446"/>
      <c r="AN40" s="446"/>
      <c r="AO40" s="446"/>
      <c r="AP40" s="446"/>
      <c r="AQ40" s="431">
        <v>0</v>
      </c>
    </row>
    <row r="41" spans="1:43" ht="24" customHeight="1">
      <c r="A41" s="1281" t="s">
        <v>273</v>
      </c>
      <c r="B41" s="1281"/>
      <c r="C41" s="1281"/>
      <c r="D41" s="1281"/>
      <c r="E41" s="2778">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122</v>
      </c>
      <c r="U41" s="236"/>
      <c r="V41" s="2766"/>
      <c r="W41" s="2767"/>
      <c r="X41" s="2767"/>
      <c r="Y41" s="2767"/>
      <c r="Z41" s="2767"/>
      <c r="AA41" s="2767"/>
      <c r="AB41" s="2768"/>
      <c r="AC41" s="2766" t="str">
        <f>INDEX(PT_DIFFERENTIATION_NTAR,MATCH(A41,PT_DIFFERENTIATION_NTAR_ID,0))</f>
        <v/>
      </c>
      <c r="AD41" s="2767"/>
      <c r="AE41" s="2767"/>
      <c r="AF41" s="2767"/>
      <c r="AG41" s="2767"/>
      <c r="AH41" s="2767"/>
      <c r="AI41" s="2767"/>
      <c r="AJ41" s="276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273</v>
      </c>
      <c r="B42" s="1281" t="s">
        <v>274</v>
      </c>
      <c r="C42" s="1281"/>
      <c r="D42" s="1281"/>
      <c r="E42" s="2779"/>
      <c r="F42" s="2778">
        <v>1</v>
      </c>
      <c r="G42" s="1281"/>
      <c r="H42" s="1281"/>
      <c r="I42" s="1281"/>
      <c r="J42" s="1281"/>
      <c r="K42" s="1281"/>
      <c r="L42" s="1282"/>
      <c r="M42" s="1283"/>
      <c r="N42" s="1283"/>
      <c r="O42" s="1283"/>
      <c r="P42" s="1405"/>
      <c r="Q42" s="287"/>
      <c r="R42" s="288"/>
      <c r="S42" s="1411" t="str">
        <f>INDEX(PT_DIFFERENTIATION_NUM_TER,MATCH(B42,PT_DIFFERENTIATION_TER_ID,0))</f>
        <v>.</v>
      </c>
      <c r="T42" s="244" t="s">
        <v>399</v>
      </c>
      <c r="U42" s="236"/>
      <c r="V42" s="2766"/>
      <c r="W42" s="2767"/>
      <c r="X42" s="2767"/>
      <c r="Y42" s="2767"/>
      <c r="Z42" s="2767"/>
      <c r="AA42" s="2767"/>
      <c r="AB42" s="2768"/>
      <c r="AC42" s="2766" t="str">
        <f>INDEX(PT_DIFFERENTIATION_TER,MATCH(B42,PT_DIFFERENTIATION_TER_ID,0))</f>
        <v/>
      </c>
      <c r="AD42" s="2767"/>
      <c r="AE42" s="2767"/>
      <c r="AF42" s="2767"/>
      <c r="AG42" s="2767"/>
      <c r="AH42" s="2767"/>
      <c r="AI42" s="2767"/>
      <c r="AJ42" s="2768"/>
      <c r="AK42" s="1176" t="s">
        <v>400</v>
      </c>
      <c r="AM42" s="435"/>
      <c r="AN42" s="435" t="str">
        <f t="shared" si="1"/>
        <v>Территория действия тарифа</v>
      </c>
      <c r="AO42" s="435"/>
      <c r="AP42" s="435"/>
      <c r="AQ42" s="1073">
        <v>23</v>
      </c>
    </row>
    <row r="43" spans="1:43" ht="24" customHeight="1">
      <c r="A43" s="1281" t="s">
        <v>273</v>
      </c>
      <c r="B43" s="1281" t="s">
        <v>274</v>
      </c>
      <c r="C43" s="1281" t="s">
        <v>275</v>
      </c>
      <c r="D43" s="1281"/>
      <c r="E43" s="2779"/>
      <c r="F43" s="2779"/>
      <c r="G43" s="2778">
        <v>1</v>
      </c>
      <c r="H43" s="1281"/>
      <c r="I43" s="1281"/>
      <c r="J43" s="1281"/>
      <c r="K43" s="1281"/>
      <c r="L43" s="1282"/>
      <c r="M43" s="1283"/>
      <c r="N43" s="1283"/>
      <c r="O43" s="1283"/>
      <c r="P43" s="289"/>
      <c r="Q43" s="287"/>
      <c r="R43" s="288"/>
      <c r="S43" s="1411" t="str">
        <f>INDEX(PT_DIFFERENTIATION_NUM_CS,MATCH(C43,PT_DIFFERENTIATION_CS_ID,0))</f>
        <v>..</v>
      </c>
      <c r="T43" s="245" t="s">
        <v>518</v>
      </c>
      <c r="U43" s="236"/>
      <c r="V43" s="2766"/>
      <c r="W43" s="2767"/>
      <c r="X43" s="2767"/>
      <c r="Y43" s="2767"/>
      <c r="Z43" s="2767"/>
      <c r="AA43" s="2767"/>
      <c r="AB43" s="2768"/>
      <c r="AC43" s="2766" t="str">
        <f>INDEX(PT_DIFFERENTIATION_CS,MATCH(C43,PT_DIFFERENTIATION_CS_ID,0))</f>
        <v/>
      </c>
      <c r="AD43" s="2767"/>
      <c r="AE43" s="2767"/>
      <c r="AF43" s="2767"/>
      <c r="AG43" s="2767"/>
      <c r="AH43" s="2767"/>
      <c r="AI43" s="2767"/>
      <c r="AJ43" s="2768"/>
      <c r="AK43" s="1176" t="s">
        <v>519</v>
      </c>
      <c r="AM43" s="435"/>
      <c r="AN43" s="435" t="str">
        <f t="shared" si="1"/>
        <v>Наименование централизованной системы водоотведения</v>
      </c>
      <c r="AO43" s="435"/>
      <c r="AP43" s="435"/>
      <c r="AQ43" s="1073">
        <v>23</v>
      </c>
    </row>
    <row r="44" spans="1:43" ht="24" customHeight="1">
      <c r="A44" s="1281" t="s">
        <v>273</v>
      </c>
      <c r="B44" s="1281" t="s">
        <v>274</v>
      </c>
      <c r="C44" s="1281" t="s">
        <v>275</v>
      </c>
      <c r="D44" s="1281" t="s">
        <v>523</v>
      </c>
      <c r="E44" s="2779"/>
      <c r="F44" s="2779"/>
      <c r="G44" s="2779"/>
      <c r="H44" s="2779"/>
      <c r="I44" s="2776" t="str">
        <f>S43&amp;".1"</f>
        <v>...1</v>
      </c>
      <c r="J44" s="1281"/>
      <c r="K44" s="1281"/>
      <c r="L44" s="1282"/>
      <c r="P44" s="2777">
        <v>1</v>
      </c>
      <c r="Q44" s="1399"/>
      <c r="R44" s="291"/>
      <c r="S44" s="1411" t="str">
        <f>$I44</f>
        <v>...1</v>
      </c>
      <c r="T44" s="221" t="s">
        <v>485</v>
      </c>
      <c r="U44" s="236"/>
      <c r="V44" s="2833"/>
      <c r="W44" s="2834"/>
      <c r="X44" s="2834"/>
      <c r="Y44" s="2834"/>
      <c r="Z44" s="2834"/>
      <c r="AA44" s="2834"/>
      <c r="AB44" s="2835"/>
      <c r="AC44" s="2836"/>
      <c r="AD44" s="2837"/>
      <c r="AE44" s="2837"/>
      <c r="AF44" s="2837"/>
      <c r="AG44" s="2837"/>
      <c r="AH44" s="2837"/>
      <c r="AI44" s="2837"/>
      <c r="AJ44" s="2838"/>
      <c r="AK44" s="1176" t="s">
        <v>486</v>
      </c>
      <c r="AM44" s="435"/>
      <c r="AN44" s="435" t="str">
        <f t="shared" si="1"/>
        <v>Наименование признака дифференциации</v>
      </c>
      <c r="AO44" s="435"/>
      <c r="AP44" s="435"/>
      <c r="AQ44" s="1073">
        <v>23</v>
      </c>
    </row>
    <row r="45" spans="1:43" ht="24" customHeight="1">
      <c r="A45" s="1281" t="s">
        <v>273</v>
      </c>
      <c r="B45" s="1281" t="s">
        <v>274</v>
      </c>
      <c r="C45" s="1281" t="s">
        <v>275</v>
      </c>
      <c r="D45" s="1281" t="s">
        <v>523</v>
      </c>
      <c r="E45" s="2779"/>
      <c r="F45" s="2779"/>
      <c r="G45" s="2779"/>
      <c r="H45" s="2779"/>
      <c r="I45" s="2787"/>
      <c r="J45" s="2776" t="str">
        <f>I44&amp;".1"</f>
        <v>...1.1</v>
      </c>
      <c r="K45" s="1281"/>
      <c r="L45" s="1282" t="s">
        <v>408</v>
      </c>
      <c r="P45" s="2777"/>
      <c r="Q45" s="2777">
        <v>1</v>
      </c>
      <c r="R45" s="292"/>
      <c r="S45" s="1411" t="str">
        <f>$J45</f>
        <v>...1.1</v>
      </c>
      <c r="T45" s="222" t="s">
        <v>409</v>
      </c>
      <c r="U45" s="236"/>
      <c r="V45" s="2769"/>
      <c r="W45" s="2770"/>
      <c r="X45" s="2770"/>
      <c r="Y45" s="2770"/>
      <c r="Z45" s="2770"/>
      <c r="AA45" s="2770"/>
      <c r="AB45" s="2771"/>
      <c r="AC45" s="2769"/>
      <c r="AD45" s="2770"/>
      <c r="AE45" s="2770"/>
      <c r="AF45" s="2770"/>
      <c r="AG45" s="2770"/>
      <c r="AH45" s="2770"/>
      <c r="AI45" s="2770"/>
      <c r="AJ45" s="2771"/>
      <c r="AK45" s="1225" t="s">
        <v>487</v>
      </c>
      <c r="AM45" s="435"/>
      <c r="AN45" s="435" t="str">
        <f t="shared" si="1"/>
        <v>Группа потребителей</v>
      </c>
      <c r="AO45" s="435"/>
      <c r="AP45" s="435"/>
      <c r="AQ45" s="1073">
        <v>23</v>
      </c>
    </row>
    <row r="46" spans="1:43" ht="24" customHeight="1">
      <c r="A46" s="1281" t="s">
        <v>273</v>
      </c>
      <c r="B46" s="1281" t="s">
        <v>274</v>
      </c>
      <c r="C46" s="1281" t="s">
        <v>275</v>
      </c>
      <c r="D46" s="1281" t="s">
        <v>523</v>
      </c>
      <c r="E46" s="2779"/>
      <c r="F46" s="2779"/>
      <c r="G46" s="2779"/>
      <c r="H46" s="2779"/>
      <c r="I46" s="2787"/>
      <c r="J46" s="2787"/>
      <c r="K46" s="2776" t="str">
        <f>J45&amp;".1"</f>
        <v>...1.1.1</v>
      </c>
      <c r="L46" s="1282"/>
      <c r="P46" s="2777"/>
      <c r="Q46" s="2777"/>
      <c r="R46" s="292">
        <v>1</v>
      </c>
      <c r="S46" s="1411" t="str">
        <f>$K46</f>
        <v>...1.1.1</v>
      </c>
      <c r="T46" s="1355"/>
      <c r="U46" s="236"/>
      <c r="V46" s="1278"/>
      <c r="W46" s="1278"/>
      <c r="X46" s="1279"/>
      <c r="Y46" s="2780"/>
      <c r="Z46" s="2781" t="s">
        <v>66</v>
      </c>
      <c r="AA46" s="2780"/>
      <c r="AB46" s="2781" t="s">
        <v>66</v>
      </c>
      <c r="AC46" s="686"/>
      <c r="AD46" s="686"/>
      <c r="AE46" s="1175"/>
      <c r="AF46" s="2753"/>
      <c r="AG46" s="2619" t="s">
        <v>66</v>
      </c>
      <c r="AH46" s="2788"/>
      <c r="AI46" s="2619" t="s">
        <v>19</v>
      </c>
      <c r="AJ46" s="1356"/>
      <c r="AK46" s="28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273</v>
      </c>
      <c r="B47" s="1281" t="s">
        <v>274</v>
      </c>
      <c r="C47" s="1281" t="s">
        <v>275</v>
      </c>
      <c r="D47" s="1281" t="s">
        <v>523</v>
      </c>
      <c r="E47" s="2779"/>
      <c r="F47" s="2779"/>
      <c r="G47" s="2779"/>
      <c r="H47" s="2779"/>
      <c r="I47" s="2787"/>
      <c r="J47" s="2787"/>
      <c r="K47" s="2776"/>
      <c r="L47" s="1282"/>
      <c r="P47" s="2777"/>
      <c r="Q47" s="2777"/>
      <c r="R47" s="292"/>
      <c r="S47" s="1408"/>
      <c r="T47" s="236"/>
      <c r="U47" s="236"/>
      <c r="V47" s="1278"/>
      <c r="W47" s="1278"/>
      <c r="X47" s="264" t="str">
        <f>Y46&amp;"-"&amp;AA46</f>
        <v>-</v>
      </c>
      <c r="Y47" s="2781"/>
      <c r="Z47" s="2781"/>
      <c r="AA47" s="2781"/>
      <c r="AB47" s="2781"/>
      <c r="AC47" s="261"/>
      <c r="AD47" s="261"/>
      <c r="AE47" s="264" t="str">
        <f>AF46&amp;"-"&amp;AH46</f>
        <v>-</v>
      </c>
      <c r="AF47" s="2752"/>
      <c r="AG47" s="2619"/>
      <c r="AH47" s="2789"/>
      <c r="AI47" s="2619"/>
      <c r="AJ47" s="1357"/>
      <c r="AK47" s="2832"/>
      <c r="AM47" s="435"/>
      <c r="AN47" s="435" t="str">
        <f t="shared" si="1"/>
        <v/>
      </c>
      <c r="AO47" s="435"/>
      <c r="AP47" s="435"/>
      <c r="AQ47" s="1073">
        <v>0</v>
      </c>
    </row>
    <row r="48" spans="1:43" ht="21" customHeight="1">
      <c r="A48" s="1281" t="s">
        <v>273</v>
      </c>
      <c r="B48" s="1281" t="s">
        <v>274</v>
      </c>
      <c r="C48" s="1281" t="s">
        <v>275</v>
      </c>
      <c r="D48" s="1281" t="s">
        <v>523</v>
      </c>
      <c r="E48" s="2779"/>
      <c r="F48" s="2779"/>
      <c r="G48" s="2779"/>
      <c r="H48" s="2779"/>
      <c r="I48" s="2787"/>
      <c r="J48" s="2776"/>
      <c r="K48" s="1281"/>
      <c r="L48" s="1282"/>
      <c r="P48" s="2777"/>
      <c r="Q48" s="2777"/>
      <c r="R48" s="291"/>
      <c r="S48" s="1196"/>
      <c r="T48" s="223" t="s">
        <v>488</v>
      </c>
      <c r="U48" s="302"/>
      <c r="V48" s="302"/>
      <c r="W48" s="302"/>
      <c r="X48" s="302"/>
      <c r="Y48" s="302"/>
      <c r="Z48" s="302"/>
      <c r="AA48" s="302"/>
      <c r="AB48" s="302"/>
      <c r="AC48" s="302"/>
      <c r="AD48" s="302"/>
      <c r="AE48" s="302"/>
      <c r="AF48" s="302"/>
      <c r="AG48" s="302"/>
      <c r="AH48" s="302"/>
      <c r="AI48" s="302"/>
      <c r="AJ48" s="302"/>
      <c r="AK48" s="1176" t="s">
        <v>489</v>
      </c>
      <c r="AM48" s="435"/>
      <c r="AN48" s="435" t="str">
        <f t="shared" si="1"/>
        <v>Добавить значение признака дифференциации</v>
      </c>
      <c r="AO48" s="435"/>
      <c r="AP48" s="435"/>
      <c r="AQ48" s="1073">
        <v>20</v>
      </c>
    </row>
    <row r="49" spans="1:43" ht="21.95" customHeight="1">
      <c r="A49" s="1281" t="s">
        <v>273</v>
      </c>
      <c r="B49" s="1281" t="s">
        <v>274</v>
      </c>
      <c r="C49" s="1281" t="s">
        <v>275</v>
      </c>
      <c r="D49" s="1281" t="s">
        <v>523</v>
      </c>
      <c r="E49" s="2779"/>
      <c r="F49" s="2779"/>
      <c r="G49" s="2779"/>
      <c r="H49" s="2779"/>
      <c r="I49" s="2776"/>
      <c r="J49" s="1281"/>
      <c r="K49" s="1281"/>
      <c r="L49" s="1282"/>
      <c r="P49" s="2777"/>
      <c r="Q49" s="1399"/>
      <c r="R49" s="291"/>
      <c r="S49" s="1196"/>
      <c r="T49" s="300" t="s">
        <v>414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273</v>
      </c>
      <c r="B50" s="1281" t="s">
        <v>274</v>
      </c>
      <c r="C50" s="1281" t="s">
        <v>275</v>
      </c>
      <c r="D50" s="1281" t="s">
        <v>523</v>
      </c>
      <c r="E50" s="2779"/>
      <c r="F50" s="2779"/>
      <c r="G50" s="2779"/>
      <c r="H50" s="2778"/>
      <c r="I50" s="1281"/>
      <c r="J50" s="1281"/>
      <c r="K50" s="1281"/>
      <c r="L50" s="1282"/>
      <c r="M50" s="1283"/>
      <c r="N50" s="1283"/>
      <c r="O50" s="472"/>
      <c r="P50" s="295"/>
      <c r="Q50" s="310"/>
      <c r="R50" s="290"/>
      <c r="S50" s="1196"/>
      <c r="T50" s="307" t="s">
        <v>490</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520" customFormat="1" ht="0" hidden="1" customHeight="1">
      <c r="A51" s="1261" t="s">
        <v>273</v>
      </c>
      <c r="B51" s="1261" t="s">
        <v>274</v>
      </c>
      <c r="C51" s="1232"/>
      <c r="D51" s="1232"/>
      <c r="E51" s="2779"/>
      <c r="F51" s="2778"/>
      <c r="G51" s="1232"/>
      <c r="H51" s="1232"/>
      <c r="I51" s="1232"/>
      <c r="J51" s="1232"/>
      <c r="K51" s="1232"/>
      <c r="L51" s="1412"/>
      <c r="M51" s="1239"/>
      <c r="N51" s="1239"/>
      <c r="P51" s="1234"/>
      <c r="Q51" s="1235"/>
      <c r="R51" s="1234"/>
      <c r="S51" s="1240"/>
      <c r="T51" s="1243" t="s">
        <v>161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520" customFormat="1" ht="0" hidden="1" customHeight="1">
      <c r="A52" s="1261" t="s">
        <v>273</v>
      </c>
      <c r="B52" s="1261"/>
      <c r="C52" s="1261"/>
      <c r="D52" s="1261"/>
      <c r="E52" s="2778"/>
      <c r="F52" s="1261"/>
      <c r="G52" s="1261"/>
      <c r="H52" s="1261"/>
      <c r="I52" s="1261"/>
      <c r="J52" s="1261"/>
      <c r="K52" s="1261"/>
      <c r="L52" s="1264"/>
      <c r="M52" s="1239"/>
      <c r="N52" s="1239"/>
      <c r="O52" s="453"/>
      <c r="P52" s="315"/>
      <c r="Q52" s="1262"/>
      <c r="R52" s="315"/>
      <c r="S52" s="1240"/>
      <c r="T52" s="1243" t="s">
        <v>162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520"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163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786"/>
      <c r="U55" s="2786"/>
      <c r="V55" s="2786"/>
      <c r="W55" s="2786"/>
      <c r="X55" s="2786"/>
      <c r="Y55" s="2786"/>
      <c r="Z55" s="2786"/>
      <c r="AA55" s="2786"/>
      <c r="AB55" s="2786"/>
      <c r="AC55" s="2786"/>
      <c r="AD55" s="2786"/>
      <c r="AE55" s="2786"/>
      <c r="AF55" s="2786"/>
      <c r="AG55" s="2786"/>
      <c r="AH55" s="2786"/>
      <c r="AI55" s="2786"/>
      <c r="AJ55" s="2786"/>
      <c r="AK55" s="2786"/>
      <c r="AQ55" s="1073">
        <v>14</v>
      </c>
    </row>
    <row r="56" spans="1:43" ht="14.65" customHeight="1">
      <c r="O56" s="472"/>
      <c r="AQ56" s="1073">
        <v>14</v>
      </c>
    </row>
    <row r="57" spans="1:43" ht="14.65" customHeight="1">
      <c r="O57" s="472"/>
      <c r="S57" s="1171"/>
      <c r="T57" s="2786"/>
      <c r="U57" s="2786"/>
      <c r="V57" s="2786"/>
      <c r="W57" s="2786"/>
      <c r="X57" s="2786"/>
      <c r="Y57" s="2786"/>
      <c r="Z57" s="2786"/>
      <c r="AA57" s="2786"/>
      <c r="AB57" s="2786"/>
      <c r="AC57" s="2786"/>
      <c r="AD57" s="2786"/>
      <c r="AE57" s="2786"/>
      <c r="AF57" s="2786"/>
      <c r="AG57" s="2786"/>
      <c r="AH57" s="2786"/>
      <c r="AI57" s="2786"/>
      <c r="AJ57" s="2786"/>
      <c r="AK57" s="2786"/>
      <c r="AQ57" s="1073">
        <v>14</v>
      </c>
    </row>
    <row r="58" spans="1:43" ht="22.5" hidden="1" customHeight="1">
      <c r="A58" s="1078" t="s">
        <v>81</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519" hidden="1" customWidth="1"/>
    <col min="2" max="2" width="11" style="2519" hidden="1" customWidth="1"/>
    <col min="3" max="3" width="10.5703125" style="2519" hidden="1"/>
    <col min="4" max="4" width="12.85546875" style="2519" hidden="1" customWidth="1"/>
    <col min="5" max="5" width="10" style="2519" hidden="1" customWidth="1"/>
    <col min="6" max="6" width="8.7109375" style="2519" hidden="1" customWidth="1"/>
    <col min="7" max="7" width="7.5703125" style="2519" hidden="1" customWidth="1"/>
    <col min="8" max="8" width="11.42578125" style="2519" hidden="1" customWidth="1"/>
    <col min="9" max="9" width="12" style="2519" hidden="1" customWidth="1"/>
    <col min="10" max="10" width="9.85546875" style="2519" hidden="1" customWidth="1"/>
    <col min="11" max="11" width="11.42578125" style="2519" hidden="1" customWidth="1"/>
    <col min="12" max="12" width="19.140625" style="2545" hidden="1" customWidth="1"/>
    <col min="13" max="14" width="12.28515625" style="2546" hidden="1" customWidth="1"/>
    <col min="15" max="15" width="23.42578125" style="2546" hidden="1" customWidth="1"/>
    <col min="16" max="16" width="3.7109375" style="2546" hidden="1" customWidth="1"/>
    <col min="17" max="17" width="3.7109375" style="2552" hidden="1" customWidth="1"/>
    <col min="18" max="18" width="3" style="2548" customWidth="1"/>
    <col min="19" max="19" width="12" style="2549" customWidth="1"/>
    <col min="20" max="20" width="31" style="2513" customWidth="1"/>
    <col min="21" max="21" width="0.140625" style="2513" customWidth="1"/>
    <col min="22" max="25" width="21.7109375" style="2513" hidden="1" customWidth="1"/>
    <col min="26" max="26" width="11.7109375" style="2513" hidden="1" customWidth="1"/>
    <col min="27" max="27" width="3.7109375" style="2513" hidden="1" customWidth="1"/>
    <col min="28" max="28" width="11.7109375" style="2513" hidden="1" customWidth="1"/>
    <col min="29" max="29" width="8.5703125" style="2513" hidden="1" customWidth="1"/>
    <col min="30" max="30" width="3.7109375" style="2513" customWidth="1"/>
    <col min="31" max="32" width="3" style="2513" customWidth="1"/>
    <col min="33" max="33" width="24" style="2513" customWidth="1"/>
    <col min="34" max="34" width="3.7109375" style="2513" customWidth="1"/>
    <col min="35" max="36" width="3" style="2513" customWidth="1"/>
    <col min="37" max="37" width="24" style="2513" customWidth="1"/>
    <col min="38" max="38" width="3.7109375" style="2513" customWidth="1"/>
    <col min="39" max="40" width="3" style="2513" customWidth="1"/>
    <col min="41" max="41" width="18" style="2513" customWidth="1"/>
    <col min="42" max="42" width="3.7109375" style="2513" customWidth="1"/>
    <col min="43" max="44" width="3" style="2513" customWidth="1"/>
    <col min="45" max="45" width="18" style="2513" customWidth="1"/>
    <col min="46" max="49" width="21" style="2513" customWidth="1"/>
    <col min="50" max="50" width="11" style="2513" customWidth="1"/>
    <col min="51" max="51" width="3.7109375" style="2513" customWidth="1"/>
    <col min="52" max="52" width="11" style="2513" customWidth="1"/>
    <col min="53" max="53" width="8.5703125" style="2513" hidden="1" customWidth="1"/>
    <col min="54" max="54" width="4" style="2513" customWidth="1"/>
    <col min="55" max="55" width="115" style="2513" customWidth="1"/>
    <col min="56" max="60" width="10" style="2520" customWidth="1"/>
    <col min="61" max="61" width="10.5703125" style="2513" hidden="1"/>
  </cols>
  <sheetData>
    <row r="1" spans="1:61" ht="22.5" hidden="1" customHeight="1">
      <c r="W1" s="263"/>
      <c r="Y1" s="263"/>
      <c r="Z1" s="263"/>
      <c r="AW1" s="263"/>
      <c r="AX1" s="263"/>
      <c r="BI1" s="1073" t="s">
        <v>14</v>
      </c>
    </row>
    <row r="2" spans="1:61" ht="21" hidden="1" customHeight="1">
      <c r="A2" s="1281"/>
      <c r="B2" s="1281"/>
      <c r="C2" s="1281"/>
      <c r="D2" s="1281"/>
      <c r="E2" s="2778">
        <v>1</v>
      </c>
      <c r="F2" s="1281"/>
      <c r="G2" s="1281"/>
      <c r="H2" s="1281"/>
      <c r="I2" s="1281"/>
      <c r="J2" s="1281"/>
      <c r="K2" s="1281"/>
      <c r="L2" s="1282"/>
      <c r="M2" s="1283"/>
      <c r="N2" s="1283"/>
      <c r="O2" s="1283"/>
      <c r="P2" s="1327"/>
      <c r="Q2" s="798"/>
      <c r="R2" s="290"/>
      <c r="S2" s="1411" t="e">
        <f>INDEX(PT_DIFFERENTIATION_NUM_NTAR,MATCH(A2,PT_DIFFERENTIATION_NTAR_ID,0))</f>
        <v>#N/A</v>
      </c>
      <c r="T2" s="234" t="s">
        <v>122</v>
      </c>
      <c r="U2" s="236"/>
      <c r="V2" s="2767"/>
      <c r="W2" s="2767"/>
      <c r="X2" s="2767"/>
      <c r="Y2" s="2767"/>
      <c r="Z2" s="2767"/>
      <c r="AA2" s="2767"/>
      <c r="AB2" s="2767"/>
      <c r="AC2" s="2768"/>
      <c r="AD2" s="2766" t="e">
        <f>INDEX(PT_DIFFERENTIATION_NTAR,MATCH(A2,PT_DIFFERENTIATION_NTAR_ID,0))</f>
        <v>#N/A</v>
      </c>
      <c r="AE2" s="2767"/>
      <c r="AF2" s="2767"/>
      <c r="AG2" s="2767"/>
      <c r="AH2" s="2767"/>
      <c r="AI2" s="2767"/>
      <c r="AJ2" s="2767"/>
      <c r="AK2" s="2767"/>
      <c r="AL2" s="2767"/>
      <c r="AM2" s="2767"/>
      <c r="AN2" s="2767"/>
      <c r="AO2" s="2767"/>
      <c r="AP2" s="2767"/>
      <c r="AQ2" s="2767"/>
      <c r="AR2" s="2767"/>
      <c r="AS2" s="2767"/>
      <c r="AT2" s="2767"/>
      <c r="AU2" s="2767"/>
      <c r="AV2" s="2767"/>
      <c r="AW2" s="2767"/>
      <c r="AX2" s="2767"/>
      <c r="AY2" s="2767"/>
      <c r="AZ2" s="2767"/>
      <c r="BA2" s="2767"/>
      <c r="BB2" s="276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779"/>
      <c r="F3" s="2778">
        <v>1</v>
      </c>
      <c r="G3" s="1281"/>
      <c r="H3" s="1281"/>
      <c r="I3" s="1281"/>
      <c r="J3" s="1281"/>
      <c r="K3" s="1281"/>
      <c r="L3" s="1282"/>
      <c r="M3" s="1283"/>
      <c r="N3" s="1283"/>
      <c r="O3" s="1283"/>
      <c r="P3" s="1328"/>
      <c r="Q3" s="1329"/>
      <c r="R3" s="288"/>
      <c r="S3" s="1411" t="e">
        <f>INDEX(PT_DIFFERENTIATION_NUM_TER,MATCH(B3,PT_DIFFERENTIATION_TER_ID,0))</f>
        <v>#N/A</v>
      </c>
      <c r="T3" s="244" t="s">
        <v>399</v>
      </c>
      <c r="U3" s="236"/>
      <c r="V3" s="2767"/>
      <c r="W3" s="2767"/>
      <c r="X3" s="2767"/>
      <c r="Y3" s="2767"/>
      <c r="Z3" s="2767"/>
      <c r="AA3" s="2767"/>
      <c r="AB3" s="2767"/>
      <c r="AC3" s="2768"/>
      <c r="AD3" s="2766" t="e">
        <f>INDEX(PT_DIFFERENTIATION_TER,MATCH(B3,PT_DIFFERENTIATION_TER_ID,0))</f>
        <v>#N/A</v>
      </c>
      <c r="AE3" s="2767"/>
      <c r="AF3" s="2767"/>
      <c r="AG3" s="2767"/>
      <c r="AH3" s="2767"/>
      <c r="AI3" s="2767"/>
      <c r="AJ3" s="2767"/>
      <c r="AK3" s="2767"/>
      <c r="AL3" s="2767"/>
      <c r="AM3" s="2767"/>
      <c r="AN3" s="2767"/>
      <c r="AO3" s="2767"/>
      <c r="AP3" s="2767"/>
      <c r="AQ3" s="2767"/>
      <c r="AR3" s="2767"/>
      <c r="AS3" s="2767"/>
      <c r="AT3" s="2767"/>
      <c r="AU3" s="2767"/>
      <c r="AV3" s="2767"/>
      <c r="AW3" s="2767"/>
      <c r="AX3" s="2767"/>
      <c r="AY3" s="2767"/>
      <c r="AZ3" s="2767"/>
      <c r="BA3" s="2767"/>
      <c r="BB3" s="2768"/>
      <c r="BC3" s="1176" t="s">
        <v>400</v>
      </c>
      <c r="BE3" s="435"/>
      <c r="BF3" s="435" t="str">
        <f t="shared" si="0"/>
        <v>Территория действия тарифа</v>
      </c>
      <c r="BG3" s="435"/>
      <c r="BH3" s="435"/>
      <c r="BI3" s="1073">
        <v>0</v>
      </c>
    </row>
    <row r="4" spans="1:61" ht="33.75" hidden="1" customHeight="1">
      <c r="A4" s="1281"/>
      <c r="B4" s="1281"/>
      <c r="C4" s="1281"/>
      <c r="D4" s="1281"/>
      <c r="E4" s="2779"/>
      <c r="F4" s="2779"/>
      <c r="G4" s="2778">
        <v>1</v>
      </c>
      <c r="H4" s="1281"/>
      <c r="I4" s="1281"/>
      <c r="J4" s="1281"/>
      <c r="K4" s="1281"/>
      <c r="L4" s="1282"/>
      <c r="M4" s="1283"/>
      <c r="N4" s="1283"/>
      <c r="O4" s="1283"/>
      <c r="P4" s="1330"/>
      <c r="Q4" s="1329"/>
      <c r="R4" s="288"/>
      <c r="S4" s="1411" t="e">
        <f>INDEX(PT_DIFFERENTIATION_NUM_CS,MATCH(C4,PT_DIFFERENTIATION_CS_ID,0))</f>
        <v>#N/A</v>
      </c>
      <c r="T4" s="245" t="s">
        <v>518</v>
      </c>
      <c r="U4" s="236"/>
      <c r="V4" s="2767"/>
      <c r="W4" s="2767"/>
      <c r="X4" s="2767"/>
      <c r="Y4" s="2767"/>
      <c r="Z4" s="2767"/>
      <c r="AA4" s="2767"/>
      <c r="AB4" s="2767"/>
      <c r="AC4" s="2768"/>
      <c r="AD4" s="2766" t="e">
        <f>INDEX(PT_DIFFERENTIATION_CS,MATCH(C4,PT_DIFFERENTIATION_CS_ID,0))</f>
        <v>#N/A</v>
      </c>
      <c r="AE4" s="2767"/>
      <c r="AF4" s="2767"/>
      <c r="AG4" s="2767"/>
      <c r="AH4" s="2767"/>
      <c r="AI4" s="2767"/>
      <c r="AJ4" s="2767"/>
      <c r="AK4" s="2767"/>
      <c r="AL4" s="2767"/>
      <c r="AM4" s="2767"/>
      <c r="AN4" s="2767"/>
      <c r="AO4" s="2767"/>
      <c r="AP4" s="2767"/>
      <c r="AQ4" s="2767"/>
      <c r="AR4" s="2767"/>
      <c r="AS4" s="2767"/>
      <c r="AT4" s="2767"/>
      <c r="AU4" s="2767"/>
      <c r="AV4" s="2767"/>
      <c r="AW4" s="2767"/>
      <c r="AX4" s="2767"/>
      <c r="AY4" s="2767"/>
      <c r="AZ4" s="2767"/>
      <c r="BA4" s="2767"/>
      <c r="BB4" s="2768"/>
      <c r="BC4" s="1176" t="s">
        <v>519</v>
      </c>
      <c r="BE4" s="435"/>
      <c r="BF4" s="435" t="str">
        <f t="shared" si="0"/>
        <v>Наименование централизованной системы водоотведения</v>
      </c>
      <c r="BG4" s="435"/>
      <c r="BH4" s="435"/>
      <c r="BI4" s="1073">
        <v>0</v>
      </c>
    </row>
    <row r="5" spans="1:61" s="2520" customFormat="1" ht="14.25" hidden="1" customHeight="1">
      <c r="A5" s="1261"/>
      <c r="B5" s="1261"/>
      <c r="C5" s="1261"/>
      <c r="D5" s="1261"/>
      <c r="E5" s="2779"/>
      <c r="F5" s="2779"/>
      <c r="G5" s="2779"/>
      <c r="H5" s="2778">
        <v>1</v>
      </c>
      <c r="I5" s="1261"/>
      <c r="J5" s="1261"/>
      <c r="K5" s="1261"/>
      <c r="L5" s="1264"/>
      <c r="M5" s="1233"/>
      <c r="N5" s="1233"/>
      <c r="O5" s="1233"/>
      <c r="P5" s="1415"/>
      <c r="Q5" s="1416"/>
      <c r="R5" s="292"/>
      <c r="S5" s="964"/>
      <c r="T5" s="1417"/>
      <c r="U5" s="1302"/>
      <c r="V5" s="2796"/>
      <c r="W5" s="2796"/>
      <c r="X5" s="2796"/>
      <c r="Y5" s="2796"/>
      <c r="Z5" s="2796"/>
      <c r="AA5" s="2796"/>
      <c r="AB5" s="2796"/>
      <c r="AC5" s="2797"/>
      <c r="AD5" s="2795"/>
      <c r="AE5" s="2796"/>
      <c r="AF5" s="2796"/>
      <c r="AG5" s="2796"/>
      <c r="AH5" s="2796"/>
      <c r="AI5" s="2796"/>
      <c r="AJ5" s="2796"/>
      <c r="AK5" s="2796"/>
      <c r="AL5" s="2796"/>
      <c r="AM5" s="2796"/>
      <c r="AN5" s="2796"/>
      <c r="AO5" s="2796"/>
      <c r="AP5" s="2796"/>
      <c r="AQ5" s="2796"/>
      <c r="AR5" s="2796"/>
      <c r="AS5" s="2796"/>
      <c r="AT5" s="2796"/>
      <c r="AU5" s="2796"/>
      <c r="AV5" s="2796"/>
      <c r="AW5" s="2796"/>
      <c r="AX5" s="2796"/>
      <c r="AY5" s="2796"/>
      <c r="AZ5" s="2796"/>
      <c r="BA5" s="2796"/>
      <c r="BB5" s="2797"/>
      <c r="BC5" s="1303" t="s">
        <v>404</v>
      </c>
      <c r="BE5" s="435"/>
      <c r="BF5" s="435" t="str">
        <f t="shared" si="0"/>
        <v/>
      </c>
      <c r="BG5" s="435"/>
      <c r="BH5" s="435"/>
      <c r="BI5" s="446">
        <v>0</v>
      </c>
    </row>
    <row r="6" spans="1:61" s="2520" customFormat="1" ht="14.25" hidden="1" customHeight="1">
      <c r="A6" s="1261"/>
      <c r="B6" s="1261"/>
      <c r="C6" s="1261"/>
      <c r="D6" s="1261"/>
      <c r="E6" s="2779"/>
      <c r="F6" s="2779"/>
      <c r="G6" s="2779"/>
      <c r="H6" s="2779"/>
      <c r="I6" s="2776" t="str">
        <f>S5&amp;".1"</f>
        <v>.1</v>
      </c>
      <c r="J6" s="1261"/>
      <c r="K6" s="1261"/>
      <c r="L6" s="1264" t="s">
        <v>405</v>
      </c>
      <c r="M6" s="445"/>
      <c r="N6" s="445"/>
      <c r="O6" s="445"/>
      <c r="P6" s="2777">
        <v>1</v>
      </c>
      <c r="Q6" s="1399"/>
      <c r="R6" s="291"/>
      <c r="S6" s="964"/>
      <c r="T6" s="1301"/>
      <c r="U6" s="1302"/>
      <c r="V6" s="2796"/>
      <c r="W6" s="2796"/>
      <c r="X6" s="2796"/>
      <c r="Y6" s="2796"/>
      <c r="Z6" s="2796"/>
      <c r="AA6" s="2796"/>
      <c r="AB6" s="2796"/>
      <c r="AC6" s="2797"/>
      <c r="AD6" s="2795"/>
      <c r="AE6" s="2796"/>
      <c r="AF6" s="2796"/>
      <c r="AG6" s="2796"/>
      <c r="AH6" s="2796"/>
      <c r="AI6" s="2796"/>
      <c r="AJ6" s="2796"/>
      <c r="AK6" s="2796"/>
      <c r="AL6" s="2796"/>
      <c r="AM6" s="2796"/>
      <c r="AN6" s="2796"/>
      <c r="AO6" s="2796"/>
      <c r="AP6" s="2796"/>
      <c r="AQ6" s="2796"/>
      <c r="AR6" s="2796"/>
      <c r="AS6" s="2796"/>
      <c r="AT6" s="2796"/>
      <c r="AU6" s="2796"/>
      <c r="AV6" s="2796"/>
      <c r="AW6" s="2796"/>
      <c r="AX6" s="2796"/>
      <c r="AY6" s="2796"/>
      <c r="AZ6" s="2796"/>
      <c r="BA6" s="2796"/>
      <c r="BB6" s="2797"/>
      <c r="BC6" s="1303"/>
      <c r="BE6" s="435"/>
      <c r="BF6" s="435" t="str">
        <f t="shared" si="0"/>
        <v/>
      </c>
      <c r="BG6" s="435"/>
      <c r="BH6" s="435"/>
      <c r="BI6" s="446">
        <v>0</v>
      </c>
    </row>
    <row r="7" spans="1:61" s="2520" customFormat="1" ht="14.25" hidden="1" customHeight="1">
      <c r="A7" s="1261"/>
      <c r="B7" s="1261"/>
      <c r="C7" s="1261"/>
      <c r="D7" s="1261"/>
      <c r="E7" s="2779"/>
      <c r="F7" s="2779"/>
      <c r="G7" s="2779"/>
      <c r="H7" s="2779"/>
      <c r="I7" s="2787"/>
      <c r="J7" s="2776" t="str">
        <f>S5&amp;".1"</f>
        <v>.1</v>
      </c>
      <c r="K7" s="1261"/>
      <c r="L7" s="1264"/>
      <c r="M7" s="445"/>
      <c r="N7" s="445"/>
      <c r="O7" s="445"/>
      <c r="P7" s="2777"/>
      <c r="Q7" s="2777">
        <v>1</v>
      </c>
      <c r="R7" s="292"/>
      <c r="S7" s="964"/>
      <c r="T7" s="1317"/>
      <c r="U7" s="1302"/>
      <c r="V7" s="2796"/>
      <c r="W7" s="2796"/>
      <c r="X7" s="2796"/>
      <c r="Y7" s="2796"/>
      <c r="Z7" s="2796"/>
      <c r="AA7" s="2796"/>
      <c r="AB7" s="2796"/>
      <c r="AC7" s="2797"/>
      <c r="AD7" s="2795"/>
      <c r="AE7" s="2796"/>
      <c r="AF7" s="2796"/>
      <c r="AG7" s="2796"/>
      <c r="AH7" s="2796"/>
      <c r="AI7" s="2796"/>
      <c r="AJ7" s="2796"/>
      <c r="AK7" s="2796"/>
      <c r="AL7" s="2796"/>
      <c r="AM7" s="2796"/>
      <c r="AN7" s="2796"/>
      <c r="AO7" s="2796"/>
      <c r="AP7" s="2796"/>
      <c r="AQ7" s="2796"/>
      <c r="AR7" s="2796"/>
      <c r="AS7" s="2796"/>
      <c r="AT7" s="2796"/>
      <c r="AU7" s="2796"/>
      <c r="AV7" s="2796"/>
      <c r="AW7" s="2796"/>
      <c r="AX7" s="2796"/>
      <c r="AY7" s="2796"/>
      <c r="AZ7" s="2796"/>
      <c r="BA7" s="2796"/>
      <c r="BB7" s="2797"/>
      <c r="BC7" s="1303"/>
      <c r="BE7" s="435"/>
      <c r="BF7" s="435" t="str">
        <f t="shared" si="0"/>
        <v/>
      </c>
      <c r="BG7" s="435"/>
      <c r="BH7" s="435"/>
      <c r="BI7" s="446">
        <v>0</v>
      </c>
    </row>
    <row r="8" spans="1:61" ht="11.25" hidden="1" customHeight="1">
      <c r="A8" s="1281"/>
      <c r="B8" s="1281"/>
      <c r="C8" s="1281"/>
      <c r="D8" s="1281"/>
      <c r="E8" s="2779"/>
      <c r="F8" s="2779"/>
      <c r="G8" s="2779"/>
      <c r="H8" s="2779"/>
      <c r="I8" s="2787"/>
      <c r="J8" s="2787"/>
      <c r="K8" s="2776" t="e">
        <f>S4&amp;".1"</f>
        <v>#N/A</v>
      </c>
      <c r="L8" s="1282"/>
      <c r="P8" s="2777"/>
      <c r="Q8" s="2777"/>
      <c r="R8" s="2830">
        <v>1</v>
      </c>
      <c r="S8" s="2824" t="e">
        <f>$K8</f>
        <v>#N/A</v>
      </c>
      <c r="T8" s="2843"/>
      <c r="U8" s="236"/>
      <c r="V8" s="686"/>
      <c r="W8" s="1175"/>
      <c r="X8" s="686"/>
      <c r="Y8" s="1175"/>
      <c r="Z8" s="1651"/>
      <c r="AA8" s="1387" t="s">
        <v>66</v>
      </c>
      <c r="AB8" s="1651"/>
      <c r="AC8" s="1387" t="s">
        <v>66</v>
      </c>
      <c r="AD8" s="2647" t="s">
        <v>66</v>
      </c>
      <c r="AE8" s="2809"/>
      <c r="AF8" s="2720">
        <v>1</v>
      </c>
      <c r="AG8" s="2846"/>
      <c r="AH8" s="2619" t="s">
        <v>66</v>
      </c>
      <c r="AI8" s="2809"/>
      <c r="AJ8" s="2720">
        <v>1</v>
      </c>
      <c r="AK8" s="2810" t="s">
        <v>28</v>
      </c>
      <c r="AL8" s="2619" t="s">
        <v>66</v>
      </c>
      <c r="AM8" s="2710"/>
      <c r="AN8" s="2720">
        <v>1</v>
      </c>
      <c r="AO8" s="2840"/>
      <c r="AP8" s="2841" t="s">
        <v>66</v>
      </c>
      <c r="AQ8" s="247"/>
      <c r="AR8" s="1404">
        <v>1</v>
      </c>
      <c r="AS8" s="1410" t="s">
        <v>28</v>
      </c>
      <c r="AT8" s="686"/>
      <c r="AU8" s="1175"/>
      <c r="AV8" s="686"/>
      <c r="AW8" s="1175"/>
      <c r="AX8" s="1651"/>
      <c r="AY8" s="1387" t="s">
        <v>66</v>
      </c>
      <c r="AZ8" s="1651"/>
      <c r="BA8" s="1387" t="s">
        <v>66</v>
      </c>
      <c r="BB8" s="1266"/>
      <c r="BC8" s="2773" t="s">
        <v>503</v>
      </c>
      <c r="BE8" s="435"/>
      <c r="BF8" s="435" t="str">
        <f t="shared" si="0"/>
        <v/>
      </c>
      <c r="BG8" s="435"/>
      <c r="BH8" s="435"/>
      <c r="BI8" s="1073">
        <v>0</v>
      </c>
    </row>
    <row r="9" spans="1:61" ht="11.25" hidden="1" customHeight="1">
      <c r="A9" s="1281"/>
      <c r="B9" s="1281"/>
      <c r="C9" s="1281"/>
      <c r="D9" s="1281"/>
      <c r="E9" s="2779"/>
      <c r="F9" s="2779"/>
      <c r="G9" s="2779"/>
      <c r="H9" s="2779"/>
      <c r="I9" s="2787"/>
      <c r="J9" s="2787"/>
      <c r="K9" s="2776"/>
      <c r="L9" s="1282"/>
      <c r="P9" s="2777"/>
      <c r="Q9" s="2777"/>
      <c r="R9" s="2830"/>
      <c r="S9" s="2825"/>
      <c r="T9" s="2844"/>
      <c r="U9" s="236"/>
      <c r="V9" s="1311"/>
      <c r="W9" s="1414"/>
      <c r="X9" s="1311"/>
      <c r="Y9" s="1414"/>
      <c r="Z9" s="1311"/>
      <c r="AA9" s="1311"/>
      <c r="AB9" s="1311"/>
      <c r="AC9" s="1311"/>
      <c r="AD9" s="2648"/>
      <c r="AE9" s="2809"/>
      <c r="AF9" s="2720"/>
      <c r="AG9" s="2846"/>
      <c r="AH9" s="2619"/>
      <c r="AI9" s="2809"/>
      <c r="AJ9" s="2720"/>
      <c r="AK9" s="2810"/>
      <c r="AL9" s="2619"/>
      <c r="AM9" s="2715"/>
      <c r="AN9" s="2720"/>
      <c r="AO9" s="2840"/>
      <c r="AP9" s="2842"/>
      <c r="AQ9" s="252"/>
      <c r="AR9" s="351"/>
      <c r="AS9" s="351" t="s">
        <v>504</v>
      </c>
      <c r="AT9" s="1311"/>
      <c r="AU9" s="1414"/>
      <c r="AV9" s="1311"/>
      <c r="AW9" s="1414"/>
      <c r="AX9" s="1311"/>
      <c r="AY9" s="1311"/>
      <c r="AZ9" s="1311"/>
      <c r="BA9" s="1311"/>
      <c r="BB9" s="1315"/>
      <c r="BC9" s="2774"/>
      <c r="BE9" s="435"/>
      <c r="BF9" s="435"/>
      <c r="BG9" s="435"/>
      <c r="BH9" s="435"/>
      <c r="BI9" s="1073">
        <v>0</v>
      </c>
    </row>
    <row r="10" spans="1:61" ht="11.25" hidden="1" customHeight="1">
      <c r="A10" s="1281"/>
      <c r="B10" s="1281"/>
      <c r="C10" s="1281"/>
      <c r="D10" s="1281"/>
      <c r="E10" s="2779"/>
      <c r="F10" s="2779"/>
      <c r="G10" s="2779"/>
      <c r="H10" s="2779"/>
      <c r="I10" s="2787"/>
      <c r="J10" s="2787"/>
      <c r="K10" s="2776"/>
      <c r="L10" s="1282"/>
      <c r="P10" s="2777"/>
      <c r="Q10" s="2777"/>
      <c r="R10" s="2830"/>
      <c r="S10" s="2825"/>
      <c r="T10" s="2844"/>
      <c r="U10" s="236"/>
      <c r="V10" s="1311"/>
      <c r="W10" s="1414"/>
      <c r="X10" s="1311"/>
      <c r="Y10" s="1414"/>
      <c r="Z10" s="1311"/>
      <c r="AA10" s="1311"/>
      <c r="AB10" s="1311"/>
      <c r="AC10" s="1311"/>
      <c r="AD10" s="2648"/>
      <c r="AE10" s="2809"/>
      <c r="AF10" s="2720"/>
      <c r="AG10" s="2846"/>
      <c r="AH10" s="2619"/>
      <c r="AI10" s="2809"/>
      <c r="AJ10" s="2720"/>
      <c r="AK10" s="2810"/>
      <c r="AL10" s="2619"/>
      <c r="AM10" s="252"/>
      <c r="AN10" s="1418"/>
      <c r="AO10" s="1418" t="s">
        <v>524</v>
      </c>
      <c r="AP10" s="351"/>
      <c r="AQ10" s="351"/>
      <c r="AR10" s="351"/>
      <c r="AS10" s="1311"/>
      <c r="AT10" s="1311"/>
      <c r="AU10" s="1414"/>
      <c r="AV10" s="1311"/>
      <c r="AW10" s="1414"/>
      <c r="AX10" s="1311"/>
      <c r="AY10" s="1311"/>
      <c r="AZ10" s="1311"/>
      <c r="BA10" s="1311"/>
      <c r="BB10" s="1315"/>
      <c r="BC10" s="2774"/>
      <c r="BE10" s="435"/>
      <c r="BF10" s="435"/>
      <c r="BG10" s="435"/>
      <c r="BH10" s="435"/>
      <c r="BI10" s="1073">
        <v>0</v>
      </c>
    </row>
    <row r="11" spans="1:61" ht="11.25" hidden="1" customHeight="1">
      <c r="A11" s="1281"/>
      <c r="B11" s="1281"/>
      <c r="C11" s="1281"/>
      <c r="D11" s="1281"/>
      <c r="E11" s="2779"/>
      <c r="F11" s="2779"/>
      <c r="G11" s="2779"/>
      <c r="H11" s="2779"/>
      <c r="I11" s="2787"/>
      <c r="J11" s="2787"/>
      <c r="K11" s="2776"/>
      <c r="L11" s="1282"/>
      <c r="P11" s="2777"/>
      <c r="Q11" s="2777"/>
      <c r="R11" s="2830"/>
      <c r="S11" s="2825"/>
      <c r="T11" s="2844"/>
      <c r="U11" s="236"/>
      <c r="V11" s="1311"/>
      <c r="W11" s="1414"/>
      <c r="X11" s="1311"/>
      <c r="Y11" s="1414"/>
      <c r="Z11" s="1311"/>
      <c r="AA11" s="1311"/>
      <c r="AB11" s="1311"/>
      <c r="AC11" s="1311"/>
      <c r="AD11" s="2648"/>
      <c r="AE11" s="2809"/>
      <c r="AF11" s="2720"/>
      <c r="AG11" s="2846"/>
      <c r="AH11" s="2619"/>
      <c r="AI11" s="230"/>
      <c r="AJ11" s="350"/>
      <c r="AK11" s="249" t="s">
        <v>525</v>
      </c>
      <c r="AL11" s="1311"/>
      <c r="AM11" s="1311"/>
      <c r="AN11" s="1311"/>
      <c r="AO11" s="1311"/>
      <c r="AP11" s="1311"/>
      <c r="AQ11" s="1311"/>
      <c r="AR11" s="1311"/>
      <c r="AS11" s="1311"/>
      <c r="AT11" s="1311"/>
      <c r="AU11" s="1414"/>
      <c r="AV11" s="1311"/>
      <c r="AW11" s="1414"/>
      <c r="AX11" s="1311"/>
      <c r="AY11" s="1311"/>
      <c r="AZ11" s="1311"/>
      <c r="BA11" s="1311"/>
      <c r="BB11" s="1315"/>
      <c r="BC11" s="2774"/>
      <c r="BE11" s="435"/>
      <c r="BF11" s="435"/>
      <c r="BG11" s="435"/>
      <c r="BH11" s="435"/>
      <c r="BI11" s="1073">
        <v>0</v>
      </c>
    </row>
    <row r="12" spans="1:61" ht="11.25" hidden="1" customHeight="1">
      <c r="A12" s="1281"/>
      <c r="B12" s="1281"/>
      <c r="C12" s="1281"/>
      <c r="D12" s="1281"/>
      <c r="E12" s="2779"/>
      <c r="F12" s="2779"/>
      <c r="G12" s="2779"/>
      <c r="H12" s="2779"/>
      <c r="I12" s="2787"/>
      <c r="J12" s="2787"/>
      <c r="K12" s="2776"/>
      <c r="L12" s="1282"/>
      <c r="P12" s="2777"/>
      <c r="Q12" s="2777"/>
      <c r="R12" s="2830"/>
      <c r="S12" s="2826"/>
      <c r="T12" s="2845"/>
      <c r="U12" s="236"/>
      <c r="V12" s="1311"/>
      <c r="W12" s="1312" t="str">
        <f>Z8&amp;"-"&amp;AB8</f>
        <v>-</v>
      </c>
      <c r="X12" s="1311"/>
      <c r="Y12" s="1312" t="str">
        <f>AB8&amp;"-"&amp;AD8</f>
        <v>-да</v>
      </c>
      <c r="Z12" s="1311"/>
      <c r="AA12" s="1311"/>
      <c r="AB12" s="1311"/>
      <c r="AC12" s="1311"/>
      <c r="AD12" s="2624"/>
      <c r="AE12" s="248"/>
      <c r="AF12" s="250"/>
      <c r="AG12" s="351" t="s">
        <v>507</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774"/>
      <c r="BE12" s="435"/>
      <c r="BF12" s="435" t="str">
        <f t="shared" ref="BF12:BF18" si="1">IF(T12="","",T12)</f>
        <v/>
      </c>
      <c r="BG12" s="435"/>
      <c r="BH12" s="435"/>
      <c r="BI12" s="1073">
        <v>0</v>
      </c>
    </row>
    <row r="13" spans="1:61" ht="11.25" hidden="1" customHeight="1">
      <c r="A13" s="1281"/>
      <c r="B13" s="1281"/>
      <c r="C13" s="1281"/>
      <c r="D13" s="1281"/>
      <c r="E13" s="2779"/>
      <c r="F13" s="2779"/>
      <c r="G13" s="2779"/>
      <c r="H13" s="2779"/>
      <c r="I13" s="2787"/>
      <c r="J13" s="2776"/>
      <c r="K13" s="1281"/>
      <c r="L13" s="1282"/>
      <c r="P13" s="2777"/>
      <c r="Q13" s="2777"/>
      <c r="R13" s="291"/>
      <c r="S13" s="1196"/>
      <c r="T13" s="223" t="s">
        <v>470</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775"/>
      <c r="BE13" s="435"/>
      <c r="BF13" s="435" t="str">
        <f t="shared" si="1"/>
        <v>Добавить строку</v>
      </c>
      <c r="BG13" s="435"/>
      <c r="BH13" s="435"/>
      <c r="BI13" s="1073">
        <v>0</v>
      </c>
    </row>
    <row r="14" spans="1:61" s="2520" customFormat="1" ht="14.25" hidden="1" customHeight="1">
      <c r="A14" s="1261"/>
      <c r="B14" s="1261"/>
      <c r="C14" s="1261"/>
      <c r="D14" s="1261"/>
      <c r="E14" s="2779"/>
      <c r="F14" s="2779"/>
      <c r="G14" s="2779"/>
      <c r="H14" s="2779"/>
      <c r="I14" s="2776"/>
      <c r="J14" s="1261"/>
      <c r="K14" s="1261"/>
      <c r="L14" s="1264"/>
      <c r="M14" s="445"/>
      <c r="N14" s="445"/>
      <c r="O14" s="445"/>
      <c r="P14" s="2777"/>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520" customFormat="1" ht="14.25" hidden="1" customHeight="1">
      <c r="A15" s="1261"/>
      <c r="B15" s="1261"/>
      <c r="C15" s="1261"/>
      <c r="D15" s="1261"/>
      <c r="E15" s="2779"/>
      <c r="F15" s="2779"/>
      <c r="G15" s="2779"/>
      <c r="H15" s="2778"/>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520" customFormat="1" ht="14.25" hidden="1" customHeight="1">
      <c r="A16" s="1261"/>
      <c r="B16" s="1261"/>
      <c r="C16" s="1261"/>
      <c r="D16" s="1232"/>
      <c r="E16" s="2779"/>
      <c r="F16" s="2779"/>
      <c r="G16" s="2778"/>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520" customFormat="1" ht="14.25" hidden="1" customHeight="1">
      <c r="A17" s="1261"/>
      <c r="B17" s="1261"/>
      <c r="C17" s="1232"/>
      <c r="D17" s="1232"/>
      <c r="E17" s="2779"/>
      <c r="F17" s="2778"/>
      <c r="G17" s="1232"/>
      <c r="H17" s="1232"/>
      <c r="I17" s="1232"/>
      <c r="J17" s="1232"/>
      <c r="K17" s="1232"/>
      <c r="L17" s="1412"/>
      <c r="M17" s="1239"/>
      <c r="N17" s="1239"/>
      <c r="P17" s="1234"/>
      <c r="Q17" s="1235"/>
      <c r="R17" s="1234"/>
      <c r="S17" s="1240"/>
      <c r="T17" s="1243" t="s">
        <v>161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520" customFormat="1" ht="14.25" hidden="1" customHeight="1">
      <c r="A18" s="1261"/>
      <c r="B18" s="1261"/>
      <c r="C18" s="1261"/>
      <c r="D18" s="1261"/>
      <c r="E18" s="2778"/>
      <c r="F18" s="1261"/>
      <c r="G18" s="1261"/>
      <c r="H18" s="1261"/>
      <c r="I18" s="1261"/>
      <c r="J18" s="1261"/>
      <c r="K18" s="1261"/>
      <c r="L18" s="1264"/>
      <c r="M18" s="1239"/>
      <c r="N18" s="1239"/>
      <c r="O18" s="453"/>
      <c r="P18" s="315"/>
      <c r="Q18" s="1262"/>
      <c r="R18" s="315"/>
      <c r="S18" s="1240"/>
      <c r="T18" s="1243" t="s">
        <v>162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416</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551" customFormat="1" ht="14.25" hidden="1" customHeight="1">
      <c r="M24" s="1426"/>
      <c r="N24" s="1426"/>
      <c r="O24" s="1427" t="s">
        <v>417</v>
      </c>
      <c r="P24" s="1426"/>
      <c r="Q24" s="1428"/>
      <c r="R24" s="1428"/>
      <c r="AA24" s="1425" t="s">
        <v>419</v>
      </c>
      <c r="AC24" s="1425" t="s">
        <v>420</v>
      </c>
      <c r="AD24" s="1425" t="s">
        <v>471</v>
      </c>
      <c r="AH24" s="1425" t="s">
        <v>471</v>
      </c>
      <c r="AK24" s="1425" t="s">
        <v>508</v>
      </c>
      <c r="AL24" s="1425" t="s">
        <v>471</v>
      </c>
      <c r="AP24" s="1425" t="s">
        <v>471</v>
      </c>
      <c r="AY24" s="1425" t="s">
        <v>419</v>
      </c>
      <c r="BA24" s="1425" t="s">
        <v>420</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74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749"/>
      <c r="U28" s="2749"/>
      <c r="V28" s="2749"/>
      <c r="W28" s="2749"/>
      <c r="X28" s="2749"/>
      <c r="Y28" s="2749"/>
      <c r="Z28" s="2749"/>
      <c r="AA28" s="2749"/>
      <c r="AB28" s="2749"/>
      <c r="AC28" s="2749"/>
      <c r="AD28" s="2749"/>
      <c r="AE28" s="2749"/>
      <c r="AF28" s="2749"/>
      <c r="AG28" s="2749"/>
      <c r="AH28" s="2749"/>
      <c r="AI28" s="2749"/>
      <c r="AJ28" s="2749"/>
      <c r="AK28" s="2749"/>
      <c r="AL28" s="2749"/>
      <c r="AM28" s="2749"/>
      <c r="AN28" s="2749"/>
      <c r="AO28" s="2749"/>
      <c r="AP28" s="2749"/>
      <c r="AQ28" s="2749"/>
      <c r="AR28" s="2749"/>
      <c r="AS28" s="2749"/>
      <c r="AT28" s="2749"/>
      <c r="AU28" s="2749"/>
      <c r="AV28" s="2749"/>
      <c r="AW28" s="2749"/>
      <c r="AX28" s="2749"/>
      <c r="AY28" s="2749"/>
      <c r="AZ28" s="2749"/>
      <c r="BA28" s="1161"/>
      <c r="BI28" s="1073">
        <v>14</v>
      </c>
    </row>
    <row r="29" spans="1:61" ht="14.65" customHeight="1">
      <c r="Q29" s="227"/>
      <c r="R29" s="311"/>
      <c r="S29" s="2696" t="str">
        <f>IF(org=0,"Не определено",org)</f>
        <v>ООО "Ноябрьская ПГЭ"</v>
      </c>
      <c r="T29" s="2696"/>
      <c r="U29" s="2696"/>
      <c r="V29" s="2696"/>
      <c r="W29" s="2696"/>
      <c r="X29" s="2696"/>
      <c r="Y29" s="2696"/>
      <c r="Z29" s="2696"/>
      <c r="AA29" s="2696"/>
      <c r="AB29" s="2696"/>
      <c r="AC29" s="2696"/>
      <c r="AD29" s="2696"/>
      <c r="AE29" s="2696"/>
      <c r="AF29" s="2696"/>
      <c r="AG29" s="2696"/>
      <c r="AH29" s="2696"/>
      <c r="AI29" s="2696"/>
      <c r="AJ29" s="2696"/>
      <c r="AK29" s="2696"/>
      <c r="AL29" s="2696"/>
      <c r="AM29" s="2696"/>
      <c r="AN29" s="2696"/>
      <c r="AO29" s="2696"/>
      <c r="AP29" s="2696"/>
      <c r="AQ29" s="2696"/>
      <c r="AR29" s="2696"/>
      <c r="AS29" s="2696"/>
      <c r="AT29" s="2696"/>
      <c r="AU29" s="2696"/>
      <c r="AV29" s="2696"/>
      <c r="AW29" s="2696"/>
      <c r="AX29" s="2696"/>
      <c r="AY29" s="2696"/>
      <c r="AZ29" s="2696"/>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529" customFormat="1" ht="25.5" hidden="1" customHeight="1">
      <c r="A31" s="1286"/>
      <c r="B31" s="1286"/>
      <c r="C31" s="1286"/>
      <c r="D31" s="1286"/>
      <c r="E31" s="1286"/>
      <c r="F31" s="1286"/>
      <c r="G31" s="1286"/>
      <c r="H31" s="1286"/>
      <c r="I31" s="1286"/>
      <c r="J31" s="1286"/>
      <c r="K31" s="1286"/>
      <c r="L31" s="1287"/>
      <c r="M31" s="1286"/>
      <c r="N31" s="1286"/>
      <c r="O31" s="1286"/>
      <c r="P31" s="1286"/>
      <c r="Q31" s="1286"/>
      <c r="S31" s="2772" t="s">
        <v>42</v>
      </c>
      <c r="T31" s="2772"/>
      <c r="U31" s="1290"/>
      <c r="V31" s="2754" t="str">
        <f>IF(TITLE_NAME_OR_PR_CHANGE="",IF(TITLE_NAME_OR_PR="","",TITLE_NAME_OR_PR),TITLE_NAME_OR_PR_CHANGE)</f>
        <v/>
      </c>
      <c r="W31" s="2754"/>
      <c r="X31" s="2754"/>
      <c r="Y31" s="2754"/>
      <c r="Z31" s="2754"/>
      <c r="AA31" s="2754"/>
      <c r="AB31" s="2754"/>
      <c r="AC31" s="262"/>
      <c r="AD31" s="2754" t="str">
        <f>IF(TITLE_NAME_OR_PR_CHANGE="",IF(TITLE_NAME_OR_PR="","",TITLE_NAME_OR_PR),TITLE_NAME_OR_PR_CHANGE)</f>
        <v/>
      </c>
      <c r="AE31" s="2754"/>
      <c r="AF31" s="2754"/>
      <c r="AG31" s="2754"/>
      <c r="AH31" s="2754"/>
      <c r="AI31" s="2754"/>
      <c r="AJ31" s="2754"/>
      <c r="AK31" s="2754"/>
      <c r="AL31" s="2754"/>
      <c r="AM31" s="2754"/>
      <c r="AN31" s="2754"/>
      <c r="AO31" s="2754"/>
      <c r="AP31" s="2754"/>
      <c r="AQ31" s="2754"/>
      <c r="AR31" s="2754"/>
      <c r="AS31" s="2754"/>
      <c r="AT31" s="2754"/>
      <c r="AU31" s="2754"/>
      <c r="AV31" s="2754"/>
      <c r="AW31" s="2754"/>
      <c r="AX31" s="2754"/>
      <c r="AY31" s="2754"/>
      <c r="AZ31" s="2754"/>
      <c r="BA31" s="262"/>
      <c r="BB31" s="262"/>
      <c r="BC31" s="216"/>
      <c r="BD31" s="303"/>
      <c r="BE31" s="303"/>
      <c r="BF31" s="303"/>
      <c r="BG31" s="303"/>
      <c r="BH31" s="303"/>
      <c r="BI31" s="353">
        <v>0</v>
      </c>
    </row>
    <row r="32" spans="1:61" s="2529" customFormat="1" ht="18.75" hidden="1" customHeight="1">
      <c r="A32" s="1286"/>
      <c r="B32" s="1286"/>
      <c r="C32" s="1286"/>
      <c r="D32" s="1286"/>
      <c r="E32" s="1286"/>
      <c r="F32" s="1286"/>
      <c r="G32" s="1286"/>
      <c r="H32" s="1286"/>
      <c r="I32" s="1286"/>
      <c r="J32" s="1286"/>
      <c r="K32" s="1286"/>
      <c r="L32" s="1287"/>
      <c r="M32" s="1286"/>
      <c r="N32" s="1286"/>
      <c r="O32" s="1286"/>
      <c r="P32" s="1286"/>
      <c r="Q32" s="1286"/>
      <c r="S32" s="2772" t="s">
        <v>422</v>
      </c>
      <c r="T32" s="2772"/>
      <c r="U32" s="1290"/>
      <c r="V32" s="2755">
        <f>IF(TITLE_DATE_PR_CHANGE="",IF(TITLE_DATE_PR="","",TITLE_DATE_PR),TITLE_DATE_PR_CHANGE)</f>
        <v>45583</v>
      </c>
      <c r="W32" s="2755"/>
      <c r="X32" s="2755"/>
      <c r="Y32" s="2755"/>
      <c r="Z32" s="2755"/>
      <c r="AA32" s="2755"/>
      <c r="AB32" s="2755"/>
      <c r="AC32" s="262"/>
      <c r="AD32" s="2755">
        <f>IF(TITLE_DATE_PR_CHANGE="",IF(TITLE_DATE_PR="","",TITLE_DATE_PR),TITLE_DATE_PR_CHANGE)</f>
        <v>45583</v>
      </c>
      <c r="AE32" s="2755"/>
      <c r="AF32" s="2755"/>
      <c r="AG32" s="2755"/>
      <c r="AH32" s="2755"/>
      <c r="AI32" s="2755"/>
      <c r="AJ32" s="2755"/>
      <c r="AK32" s="2755"/>
      <c r="AL32" s="2755"/>
      <c r="AM32" s="2755"/>
      <c r="AN32" s="2755"/>
      <c r="AO32" s="2755"/>
      <c r="AP32" s="2755"/>
      <c r="AQ32" s="2755"/>
      <c r="AR32" s="2755"/>
      <c r="AS32" s="2755"/>
      <c r="AT32" s="2755"/>
      <c r="AU32" s="2755"/>
      <c r="AV32" s="2755"/>
      <c r="AW32" s="2755"/>
      <c r="AX32" s="2755"/>
      <c r="AY32" s="2755"/>
      <c r="AZ32" s="2755"/>
      <c r="BA32" s="262"/>
      <c r="BB32" s="262"/>
      <c r="BC32" s="216"/>
      <c r="BD32" s="303"/>
      <c r="BE32" s="303"/>
      <c r="BF32" s="303"/>
      <c r="BG32" s="303"/>
      <c r="BH32" s="303"/>
      <c r="BI32" s="353">
        <v>0</v>
      </c>
    </row>
    <row r="33" spans="1:61" s="2529" customFormat="1" ht="18.75" hidden="1" customHeight="1">
      <c r="A33" s="1286"/>
      <c r="B33" s="1286"/>
      <c r="C33" s="1286"/>
      <c r="D33" s="1286"/>
      <c r="E33" s="1286"/>
      <c r="F33" s="1286"/>
      <c r="G33" s="1286"/>
      <c r="H33" s="1286"/>
      <c r="I33" s="1286"/>
      <c r="J33" s="1286"/>
      <c r="K33" s="1286"/>
      <c r="L33" s="1287"/>
      <c r="M33" s="1286"/>
      <c r="N33" s="1286"/>
      <c r="O33" s="1286"/>
      <c r="P33" s="1286"/>
      <c r="Q33" s="1286"/>
      <c r="S33" s="2772" t="s">
        <v>423</v>
      </c>
      <c r="T33" s="2772"/>
      <c r="U33" s="1290"/>
      <c r="V33" s="2754" t="str">
        <f>IF(TITLE_NUMBER_PR_CHANGE="",IF(TITLE_NUMBER_PR="","",TITLE_NUMBER_PR),TITLE_NUMBER_PR_CHANGE)</f>
        <v>18-3341</v>
      </c>
      <c r="W33" s="2754"/>
      <c r="X33" s="2754"/>
      <c r="Y33" s="2754"/>
      <c r="Z33" s="2754"/>
      <c r="AA33" s="2754"/>
      <c r="AB33" s="2754"/>
      <c r="AC33" s="262"/>
      <c r="AD33" s="2754" t="str">
        <f>IF(TITLE_NUMBER_PR_CHANGE="",IF(TITLE_NUMBER_PR="","",TITLE_NUMBER_PR),TITLE_NUMBER_PR_CHANGE)</f>
        <v>18-3341</v>
      </c>
      <c r="AE33" s="2754"/>
      <c r="AF33" s="2754"/>
      <c r="AG33" s="2754"/>
      <c r="AH33" s="2754"/>
      <c r="AI33" s="2754"/>
      <c r="AJ33" s="2754"/>
      <c r="AK33" s="2754"/>
      <c r="AL33" s="2754"/>
      <c r="AM33" s="2754"/>
      <c r="AN33" s="2754"/>
      <c r="AO33" s="2754"/>
      <c r="AP33" s="2754"/>
      <c r="AQ33" s="2754"/>
      <c r="AR33" s="2754"/>
      <c r="AS33" s="2754"/>
      <c r="AT33" s="2754"/>
      <c r="AU33" s="2754"/>
      <c r="AV33" s="2754"/>
      <c r="AW33" s="2754"/>
      <c r="AX33" s="2754"/>
      <c r="AY33" s="2754"/>
      <c r="AZ33" s="2754"/>
      <c r="BA33" s="262"/>
      <c r="BB33" s="262"/>
      <c r="BC33" s="216"/>
      <c r="BD33" s="303"/>
      <c r="BE33" s="303"/>
      <c r="BF33" s="303"/>
      <c r="BG33" s="303"/>
      <c r="BH33" s="303"/>
      <c r="BI33" s="353">
        <v>0</v>
      </c>
    </row>
    <row r="34" spans="1:61" s="2529" customFormat="1" ht="18.75" hidden="1" customHeight="1">
      <c r="A34" s="1286"/>
      <c r="B34" s="1286"/>
      <c r="C34" s="1286"/>
      <c r="D34" s="1286"/>
      <c r="E34" s="1286"/>
      <c r="F34" s="1286"/>
      <c r="G34" s="1286"/>
      <c r="H34" s="1286"/>
      <c r="I34" s="1286"/>
      <c r="J34" s="1286"/>
      <c r="K34" s="1286"/>
      <c r="L34" s="1287"/>
      <c r="M34" s="1286"/>
      <c r="N34" s="1286"/>
      <c r="O34" s="1286"/>
      <c r="P34" s="1286"/>
      <c r="Q34" s="1286"/>
      <c r="S34" s="2772" t="s">
        <v>43</v>
      </c>
      <c r="T34" s="2772"/>
      <c r="U34" s="1290"/>
      <c r="V34" s="2754" t="str">
        <f>IF(TITLE_IST_PUB_CHANGE="",IF(TITLE_IST_PUB="","",TITLE_IST_PUB),TITLE_IST_PUB_CHANGE)</f>
        <v/>
      </c>
      <c r="W34" s="2754"/>
      <c r="X34" s="2754"/>
      <c r="Y34" s="2754"/>
      <c r="Z34" s="2754"/>
      <c r="AA34" s="2754"/>
      <c r="AB34" s="2754"/>
      <c r="AC34" s="262"/>
      <c r="AD34" s="2754" t="str">
        <f>IF(TITLE_IST_PUB_CHANGE="",IF(TITLE_IST_PUB="","",TITLE_IST_PUB),TITLE_IST_PUB_CHANGE)</f>
        <v/>
      </c>
      <c r="AE34" s="2754"/>
      <c r="AF34" s="2754"/>
      <c r="AG34" s="2754"/>
      <c r="AH34" s="2754"/>
      <c r="AI34" s="2754"/>
      <c r="AJ34" s="2754"/>
      <c r="AK34" s="2754"/>
      <c r="AL34" s="2754"/>
      <c r="AM34" s="2754"/>
      <c r="AN34" s="2754"/>
      <c r="AO34" s="2754"/>
      <c r="AP34" s="2754"/>
      <c r="AQ34" s="2754"/>
      <c r="AR34" s="2754"/>
      <c r="AS34" s="2754"/>
      <c r="AT34" s="2754"/>
      <c r="AU34" s="2754"/>
      <c r="AV34" s="2754"/>
      <c r="AW34" s="2754"/>
      <c r="AX34" s="2754"/>
      <c r="AY34" s="2754"/>
      <c r="AZ34" s="2754"/>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529" customFormat="1" ht="18.75" customHeight="1">
      <c r="A36" s="1286"/>
      <c r="B36" s="1286"/>
      <c r="C36" s="1286"/>
      <c r="D36" s="1286"/>
      <c r="E36" s="1286"/>
      <c r="F36" s="1286"/>
      <c r="G36" s="1286"/>
      <c r="H36" s="1286"/>
      <c r="I36" s="1286"/>
      <c r="J36" s="1286"/>
      <c r="K36" s="1286"/>
      <c r="L36" s="1287"/>
      <c r="M36" s="1286"/>
      <c r="N36" s="1286"/>
      <c r="O36" s="1286"/>
      <c r="P36" s="1286"/>
      <c r="Q36" s="1286"/>
      <c r="S36" s="2772" t="s">
        <v>422</v>
      </c>
      <c r="T36" s="2772"/>
      <c r="U36" s="1290"/>
      <c r="V36" s="2755">
        <f>IF(TITLE_DATE_PR_CHANGE="",IF(TITLE_DATE_PR="","",TITLE_DATE_PR),TITLE_DATE_PR_CHANGE)</f>
        <v>45583</v>
      </c>
      <c r="W36" s="2755"/>
      <c r="X36" s="2755"/>
      <c r="Y36" s="2755"/>
      <c r="Z36" s="2755"/>
      <c r="AA36" s="2755"/>
      <c r="AB36" s="2755"/>
      <c r="AC36" s="262"/>
      <c r="AD36" s="2755">
        <f>IF(TITLE_DATE_PR_CHANGE="",IF(TITLE_DATE_PR="","",TITLE_DATE_PR),TITLE_DATE_PR_CHANGE)</f>
        <v>45583</v>
      </c>
      <c r="AE36" s="2755"/>
      <c r="AF36" s="2755"/>
      <c r="AG36" s="2755"/>
      <c r="AH36" s="2755"/>
      <c r="AI36" s="2755"/>
      <c r="AJ36" s="2755"/>
      <c r="AK36" s="2755"/>
      <c r="AL36" s="2755"/>
      <c r="AM36" s="2755"/>
      <c r="AN36" s="2755"/>
      <c r="AO36" s="2755"/>
      <c r="AP36" s="2755"/>
      <c r="AQ36" s="2755"/>
      <c r="AR36" s="2755"/>
      <c r="AS36" s="2755"/>
      <c r="AT36" s="2755"/>
      <c r="AU36" s="2755"/>
      <c r="AV36" s="2755"/>
      <c r="AW36" s="2755"/>
      <c r="AX36" s="2755"/>
      <c r="AY36" s="2755"/>
      <c r="AZ36" s="2755"/>
      <c r="BA36" s="262"/>
      <c r="BB36" s="262"/>
      <c r="BC36" s="216"/>
      <c r="BD36" s="303"/>
      <c r="BE36" s="303"/>
      <c r="BF36" s="303"/>
      <c r="BG36" s="303"/>
      <c r="BH36" s="303"/>
      <c r="BI36" s="353">
        <v>0</v>
      </c>
    </row>
    <row r="37" spans="1:61" s="2529" customFormat="1" ht="18.75" customHeight="1">
      <c r="A37" s="1286"/>
      <c r="B37" s="1286"/>
      <c r="C37" s="1286"/>
      <c r="D37" s="1286"/>
      <c r="E37" s="1286"/>
      <c r="F37" s="1286"/>
      <c r="G37" s="1286"/>
      <c r="H37" s="1286"/>
      <c r="I37" s="1286"/>
      <c r="J37" s="1286"/>
      <c r="K37" s="1286"/>
      <c r="L37" s="1287"/>
      <c r="M37" s="1286"/>
      <c r="N37" s="1286"/>
      <c r="O37" s="1286"/>
      <c r="P37" s="1286"/>
      <c r="Q37" s="1286"/>
      <c r="S37" s="2772" t="s">
        <v>423</v>
      </c>
      <c r="T37" s="2772"/>
      <c r="U37" s="1290"/>
      <c r="V37" s="2754" t="str">
        <f>IF(TITLE_NUMBER_PR_CHANGE="",IF(TITLE_NUMBER_PR="","",TITLE_NUMBER_PR),TITLE_NUMBER_PR_CHANGE)</f>
        <v>18-3341</v>
      </c>
      <c r="W37" s="2754"/>
      <c r="X37" s="2754"/>
      <c r="Y37" s="2754"/>
      <c r="Z37" s="2754"/>
      <c r="AA37" s="2754"/>
      <c r="AB37" s="2754"/>
      <c r="AC37" s="262"/>
      <c r="AD37" s="2754" t="str">
        <f>IF(TITLE_NUMBER_PR_CHANGE="",IF(TITLE_NUMBER_PR="","",TITLE_NUMBER_PR),TITLE_NUMBER_PR_CHANGE)</f>
        <v>18-3341</v>
      </c>
      <c r="AE37" s="2754"/>
      <c r="AF37" s="2754"/>
      <c r="AG37" s="2754"/>
      <c r="AH37" s="2754"/>
      <c r="AI37" s="2754"/>
      <c r="AJ37" s="2754"/>
      <c r="AK37" s="2754"/>
      <c r="AL37" s="2754"/>
      <c r="AM37" s="2754"/>
      <c r="AN37" s="2754"/>
      <c r="AO37" s="2754"/>
      <c r="AP37" s="2754"/>
      <c r="AQ37" s="2754"/>
      <c r="AR37" s="2754"/>
      <c r="AS37" s="2754"/>
      <c r="AT37" s="2754"/>
      <c r="AU37" s="2754"/>
      <c r="AV37" s="2754"/>
      <c r="AW37" s="2754"/>
      <c r="AX37" s="2754"/>
      <c r="AY37" s="2754"/>
      <c r="AZ37" s="2754"/>
      <c r="BA37" s="262"/>
      <c r="BB37" s="262"/>
      <c r="BC37" s="216"/>
      <c r="BD37" s="303"/>
      <c r="BE37" s="303"/>
      <c r="BF37" s="303"/>
      <c r="BG37" s="303"/>
      <c r="BH37" s="303"/>
      <c r="BI37" s="353">
        <v>0</v>
      </c>
    </row>
    <row r="38" spans="1:61" s="2529"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426</v>
      </c>
      <c r="BD38" s="303"/>
      <c r="BE38" s="303"/>
      <c r="BF38" s="303"/>
      <c r="BG38" s="303"/>
      <c r="BH38" s="303"/>
      <c r="BI38" s="353">
        <v>0</v>
      </c>
    </row>
    <row r="39" spans="1:61" ht="14.65" customHeight="1">
      <c r="Q39" s="227"/>
      <c r="R39" s="311"/>
      <c r="S39" s="1193"/>
      <c r="T39" s="298"/>
      <c r="U39" s="1162"/>
      <c r="V39" s="2756"/>
      <c r="W39" s="2756"/>
      <c r="X39" s="2756"/>
      <c r="Y39" s="2756"/>
      <c r="Z39" s="2756"/>
      <c r="AA39" s="2756"/>
      <c r="AB39" s="2756"/>
      <c r="AC39" s="2756"/>
      <c r="AD39" s="2756"/>
      <c r="AE39" s="2756"/>
      <c r="AF39" s="2756"/>
      <c r="AG39" s="2756"/>
      <c r="AH39" s="2756"/>
      <c r="AI39" s="2756"/>
      <c r="AJ39" s="2756"/>
      <c r="AK39" s="2756"/>
      <c r="AL39" s="2756"/>
      <c r="AM39" s="2756"/>
      <c r="AN39" s="2756"/>
      <c r="AO39" s="2756"/>
      <c r="AP39" s="2756"/>
      <c r="AQ39" s="2756"/>
      <c r="AR39" s="2756"/>
      <c r="AS39" s="2756"/>
      <c r="AT39" s="2756"/>
      <c r="AU39" s="2756"/>
      <c r="AV39" s="2756"/>
      <c r="AW39" s="2756"/>
      <c r="AX39" s="2756"/>
      <c r="AY39" s="2756"/>
      <c r="AZ39" s="2756"/>
      <c r="BA39" s="2756"/>
      <c r="BI39" s="1073">
        <v>14</v>
      </c>
    </row>
    <row r="40" spans="1:61" ht="14.65" customHeight="1">
      <c r="Q40" s="227"/>
      <c r="R40" s="311"/>
      <c r="S40" s="2638" t="s">
        <v>302</v>
      </c>
      <c r="T40" s="2638"/>
      <c r="U40" s="2638"/>
      <c r="V40" s="2638"/>
      <c r="W40" s="2638"/>
      <c r="X40" s="2638"/>
      <c r="Y40" s="2638"/>
      <c r="Z40" s="2638"/>
      <c r="AA40" s="2638"/>
      <c r="AB40" s="2638"/>
      <c r="AC40" s="2638"/>
      <c r="AD40" s="2638"/>
      <c r="AE40" s="2638"/>
      <c r="AF40" s="2638"/>
      <c r="AG40" s="2638"/>
      <c r="AH40" s="2638"/>
      <c r="AI40" s="2638"/>
      <c r="AJ40" s="2638"/>
      <c r="AK40" s="2638"/>
      <c r="AL40" s="2638"/>
      <c r="AM40" s="2638"/>
      <c r="AN40" s="2638"/>
      <c r="AO40" s="2638"/>
      <c r="AP40" s="2638"/>
      <c r="AQ40" s="2638"/>
      <c r="AR40" s="2638"/>
      <c r="AS40" s="2638"/>
      <c r="AT40" s="2638"/>
      <c r="AU40" s="2638"/>
      <c r="AV40" s="2638"/>
      <c r="AW40" s="2638"/>
      <c r="AX40" s="2638"/>
      <c r="AY40" s="2638"/>
      <c r="AZ40" s="2638"/>
      <c r="BA40" s="2638"/>
      <c r="BB40" s="2638"/>
      <c r="BC40" s="2638" t="s">
        <v>303</v>
      </c>
      <c r="BI40" s="1073">
        <v>14</v>
      </c>
    </row>
    <row r="41" spans="1:61" ht="14.65" customHeight="1">
      <c r="Q41" s="227"/>
      <c r="R41" s="311"/>
      <c r="S41" s="2782" t="s">
        <v>87</v>
      </c>
      <c r="T41" s="2724" t="s">
        <v>509</v>
      </c>
      <c r="U41" s="237"/>
      <c r="V41" s="2757" t="s">
        <v>429</v>
      </c>
      <c r="W41" s="2758"/>
      <c r="X41" s="2758"/>
      <c r="Y41" s="2758"/>
      <c r="Z41" s="2758"/>
      <c r="AA41" s="2758"/>
      <c r="AB41" s="2759"/>
      <c r="AC41" s="2760" t="s">
        <v>430</v>
      </c>
      <c r="AD41" s="2811" t="s">
        <v>526</v>
      </c>
      <c r="AE41" s="2792"/>
      <c r="AF41" s="2792"/>
      <c r="AG41" s="2812"/>
      <c r="AH41" s="2811" t="s">
        <v>527</v>
      </c>
      <c r="AI41" s="2792"/>
      <c r="AJ41" s="2792"/>
      <c r="AK41" s="2812"/>
      <c r="AL41" s="2811" t="s">
        <v>528</v>
      </c>
      <c r="AM41" s="2792"/>
      <c r="AN41" s="2792"/>
      <c r="AO41" s="2812"/>
      <c r="AP41" s="2811" t="s">
        <v>513</v>
      </c>
      <c r="AQ41" s="2792"/>
      <c r="AR41" s="2792"/>
      <c r="AS41" s="2812"/>
      <c r="AT41" s="2757" t="s">
        <v>429</v>
      </c>
      <c r="AU41" s="2758"/>
      <c r="AV41" s="2758"/>
      <c r="AW41" s="2758"/>
      <c r="AX41" s="2758"/>
      <c r="AY41" s="2758"/>
      <c r="AZ41" s="2759"/>
      <c r="BA41" s="2760" t="s">
        <v>430</v>
      </c>
      <c r="BB41" s="2783" t="s">
        <v>432</v>
      </c>
      <c r="BC41" s="2638"/>
      <c r="BI41" s="1073">
        <v>14</v>
      </c>
    </row>
    <row r="42" spans="1:61" ht="35.65" customHeight="1">
      <c r="Q42" s="227"/>
      <c r="R42" s="311"/>
      <c r="S42" s="2782"/>
      <c r="T42" s="2724"/>
      <c r="U42" s="953"/>
      <c r="V42" s="2710" t="s">
        <v>514</v>
      </c>
      <c r="W42" s="2711"/>
      <c r="X42" s="2710" t="s">
        <v>515</v>
      </c>
      <c r="Y42" s="2711"/>
      <c r="Z42" s="2710" t="s">
        <v>516</v>
      </c>
      <c r="AA42" s="2806"/>
      <c r="AB42" s="2711"/>
      <c r="AC42" s="2761"/>
      <c r="AD42" s="2813"/>
      <c r="AE42" s="2814"/>
      <c r="AF42" s="2814"/>
      <c r="AG42" s="2815"/>
      <c r="AH42" s="2813"/>
      <c r="AI42" s="2814"/>
      <c r="AJ42" s="2814"/>
      <c r="AK42" s="2815"/>
      <c r="AL42" s="2813"/>
      <c r="AM42" s="2814"/>
      <c r="AN42" s="2814"/>
      <c r="AO42" s="2815"/>
      <c r="AP42" s="2813"/>
      <c r="AQ42" s="2814"/>
      <c r="AR42" s="2814"/>
      <c r="AS42" s="2815"/>
      <c r="AT42" s="2710" t="s">
        <v>529</v>
      </c>
      <c r="AU42" s="2711"/>
      <c r="AV42" s="2710" t="s">
        <v>530</v>
      </c>
      <c r="AW42" s="2711"/>
      <c r="AX42" s="2710" t="s">
        <v>516</v>
      </c>
      <c r="AY42" s="2806"/>
      <c r="AZ42" s="2711"/>
      <c r="BA42" s="2761"/>
      <c r="BB42" s="2784"/>
      <c r="BC42" s="2638"/>
      <c r="BI42" s="1073">
        <v>34</v>
      </c>
    </row>
    <row r="43" spans="1:61" ht="14.65" customHeight="1">
      <c r="Q43" s="227"/>
      <c r="R43" s="311"/>
      <c r="S43" s="2782"/>
      <c r="T43" s="2724"/>
      <c r="U43" s="953"/>
      <c r="V43" s="2715"/>
      <c r="W43" s="2716"/>
      <c r="X43" s="2715"/>
      <c r="Y43" s="2716"/>
      <c r="Z43" s="2715"/>
      <c r="AA43" s="2807"/>
      <c r="AB43" s="2716"/>
      <c r="AC43" s="2761"/>
      <c r="AD43" s="2813"/>
      <c r="AE43" s="2814"/>
      <c r="AF43" s="2814"/>
      <c r="AG43" s="2815"/>
      <c r="AH43" s="2813"/>
      <c r="AI43" s="2814"/>
      <c r="AJ43" s="2814"/>
      <c r="AK43" s="2815"/>
      <c r="AL43" s="2813"/>
      <c r="AM43" s="2814"/>
      <c r="AN43" s="2814"/>
      <c r="AO43" s="2815"/>
      <c r="AP43" s="2813"/>
      <c r="AQ43" s="2814"/>
      <c r="AR43" s="2814"/>
      <c r="AS43" s="2815"/>
      <c r="AT43" s="2715"/>
      <c r="AU43" s="2716"/>
      <c r="AV43" s="2715"/>
      <c r="AW43" s="2716"/>
      <c r="AX43" s="2715"/>
      <c r="AY43" s="2807"/>
      <c r="AZ43" s="2716"/>
      <c r="BA43" s="2761"/>
      <c r="BB43" s="2784"/>
      <c r="BC43" s="2638"/>
      <c r="BI43" s="1073">
        <v>14</v>
      </c>
    </row>
    <row r="44" spans="1:61" ht="14.65" customHeight="1">
      <c r="A44" s="1288"/>
      <c r="B44" s="1288" t="s">
        <v>134</v>
      </c>
      <c r="C44" s="1288" t="s">
        <v>135</v>
      </c>
      <c r="D44" s="1288" t="s">
        <v>136</v>
      </c>
      <c r="E44" s="1282" t="s">
        <v>437</v>
      </c>
      <c r="F44" s="1282" t="s">
        <v>438</v>
      </c>
      <c r="G44" s="1282" t="s">
        <v>439</v>
      </c>
      <c r="H44" s="1282" t="s">
        <v>440</v>
      </c>
      <c r="I44" s="1282" t="s">
        <v>441</v>
      </c>
      <c r="J44" s="1282" t="s">
        <v>442</v>
      </c>
      <c r="K44" s="1282" t="s">
        <v>443</v>
      </c>
      <c r="L44" s="1282" t="s">
        <v>417</v>
      </c>
      <c r="Q44" s="227"/>
      <c r="R44" s="311"/>
      <c r="S44" s="2782"/>
      <c r="T44" s="2724"/>
      <c r="U44" s="238"/>
      <c r="V44" s="1397" t="s">
        <v>480</v>
      </c>
      <c r="W44" s="1397" t="s">
        <v>481</v>
      </c>
      <c r="X44" s="1397" t="s">
        <v>480</v>
      </c>
      <c r="Y44" s="1397" t="s">
        <v>481</v>
      </c>
      <c r="Z44" s="1407" t="s">
        <v>446</v>
      </c>
      <c r="AA44" s="2733" t="s">
        <v>447</v>
      </c>
      <c r="AB44" s="2735"/>
      <c r="AC44" s="2762"/>
      <c r="AD44" s="2816"/>
      <c r="AE44" s="2817"/>
      <c r="AF44" s="2817"/>
      <c r="AG44" s="2818"/>
      <c r="AH44" s="2816"/>
      <c r="AI44" s="2817"/>
      <c r="AJ44" s="2817"/>
      <c r="AK44" s="2818"/>
      <c r="AL44" s="2816"/>
      <c r="AM44" s="2817"/>
      <c r="AN44" s="2817"/>
      <c r="AO44" s="2818"/>
      <c r="AP44" s="2816"/>
      <c r="AQ44" s="2817"/>
      <c r="AR44" s="2817"/>
      <c r="AS44" s="2818"/>
      <c r="AT44" s="1397" t="s">
        <v>480</v>
      </c>
      <c r="AU44" s="1397" t="s">
        <v>481</v>
      </c>
      <c r="AV44" s="1397" t="s">
        <v>480</v>
      </c>
      <c r="AW44" s="1397" t="s">
        <v>481</v>
      </c>
      <c r="AX44" s="1407" t="s">
        <v>446</v>
      </c>
      <c r="AY44" s="2733" t="s">
        <v>447</v>
      </c>
      <c r="AZ44" s="2735"/>
      <c r="BA44" s="2762"/>
      <c r="BB44" s="2785"/>
      <c r="BC44" s="2638"/>
      <c r="BI44" s="1073">
        <v>14</v>
      </c>
    </row>
    <row r="45" spans="1:61" s="2544"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108</v>
      </c>
      <c r="T45" s="1173" t="s">
        <v>109</v>
      </c>
      <c r="U45" s="1163" t="str">
        <f ca="1">OFFSET(U45,0,-1)</f>
        <v>2</v>
      </c>
      <c r="V45" s="1400">
        <f t="shared" ref="V45:AA45" ca="1" si="2">OFFSET(V45,0,-1)+1</f>
        <v>3</v>
      </c>
      <c r="W45" s="1400">
        <f t="shared" ca="1" si="2"/>
        <v>4</v>
      </c>
      <c r="X45" s="1400">
        <f t="shared" ca="1" si="2"/>
        <v>5</v>
      </c>
      <c r="Y45" s="1400">
        <f t="shared" ca="1" si="2"/>
        <v>6</v>
      </c>
      <c r="Z45" s="1400">
        <f t="shared" ca="1" si="2"/>
        <v>7</v>
      </c>
      <c r="AA45" s="2765">
        <f t="shared" ca="1" si="2"/>
        <v>8</v>
      </c>
      <c r="AB45" s="2765"/>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765">
        <f ca="1">OFFSET(AY45,0,-1)+1</f>
        <v>3</v>
      </c>
      <c r="AZ45" s="2765"/>
      <c r="BA45" s="1400">
        <f ca="1">OFFSET(BA45,0,-2)+1</f>
        <v>4</v>
      </c>
      <c r="BB45" s="1163">
        <f ca="1">OFFSET(BB45,0,-1)</f>
        <v>4</v>
      </c>
      <c r="BC45" s="1400">
        <f ca="1">OFFSET(BC45,0,-1)+1</f>
        <v>5</v>
      </c>
      <c r="BD45" s="446"/>
      <c r="BE45" s="446"/>
      <c r="BF45" s="446"/>
      <c r="BG45" s="446"/>
      <c r="BH45" s="446"/>
      <c r="BI45" s="431">
        <v>0</v>
      </c>
    </row>
    <row r="46" spans="1:61" ht="21.95" customHeight="1">
      <c r="A46" s="1281" t="s">
        <v>278</v>
      </c>
      <c r="B46" s="1281"/>
      <c r="C46" s="1281"/>
      <c r="D46" s="1281"/>
      <c r="E46" s="2778">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122</v>
      </c>
      <c r="U46" s="236"/>
      <c r="V46" s="2767"/>
      <c r="W46" s="2767"/>
      <c r="X46" s="2767"/>
      <c r="Y46" s="2767"/>
      <c r="Z46" s="2767"/>
      <c r="AA46" s="2767"/>
      <c r="AB46" s="2767"/>
      <c r="AC46" s="2768"/>
      <c r="AD46" s="2766" t="str">
        <f>INDEX(PT_DIFFERENTIATION_NTAR,MATCH(A46,PT_DIFFERENTIATION_NTAR_ID,0))</f>
        <v/>
      </c>
      <c r="AE46" s="2767"/>
      <c r="AF46" s="2767"/>
      <c r="AG46" s="2767"/>
      <c r="AH46" s="2767"/>
      <c r="AI46" s="2767"/>
      <c r="AJ46" s="2767"/>
      <c r="AK46" s="2767"/>
      <c r="AL46" s="2767"/>
      <c r="AM46" s="2767"/>
      <c r="AN46" s="2767"/>
      <c r="AO46" s="2767"/>
      <c r="AP46" s="2767"/>
      <c r="AQ46" s="2767"/>
      <c r="AR46" s="2767"/>
      <c r="AS46" s="2767"/>
      <c r="AT46" s="2767"/>
      <c r="AU46" s="2767"/>
      <c r="AV46" s="2767"/>
      <c r="AW46" s="2767"/>
      <c r="AX46" s="2767"/>
      <c r="AY46" s="2767"/>
      <c r="AZ46" s="2767"/>
      <c r="BA46" s="2767"/>
      <c r="BB46" s="276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278</v>
      </c>
      <c r="B47" s="1281" t="s">
        <v>279</v>
      </c>
      <c r="C47" s="1281"/>
      <c r="D47" s="1281"/>
      <c r="E47" s="2779"/>
      <c r="F47" s="2778">
        <v>1</v>
      </c>
      <c r="G47" s="1281"/>
      <c r="H47" s="1281"/>
      <c r="I47" s="1281"/>
      <c r="J47" s="1281"/>
      <c r="K47" s="1281"/>
      <c r="L47" s="1282"/>
      <c r="M47" s="1283"/>
      <c r="N47" s="1283"/>
      <c r="O47" s="1283"/>
      <c r="P47" s="1328"/>
      <c r="Q47" s="1329"/>
      <c r="R47" s="288"/>
      <c r="S47" s="1411" t="str">
        <f>INDEX(PT_DIFFERENTIATION_NUM_TER,MATCH(B47,PT_DIFFERENTIATION_TER_ID,0))</f>
        <v>.</v>
      </c>
      <c r="T47" s="244" t="s">
        <v>399</v>
      </c>
      <c r="U47" s="236"/>
      <c r="V47" s="2767"/>
      <c r="W47" s="2767"/>
      <c r="X47" s="2767"/>
      <c r="Y47" s="2767"/>
      <c r="Z47" s="2767"/>
      <c r="AA47" s="2767"/>
      <c r="AB47" s="2767"/>
      <c r="AC47" s="2768"/>
      <c r="AD47" s="2766" t="str">
        <f>INDEX(PT_DIFFERENTIATION_TER,MATCH(B47,PT_DIFFERENTIATION_TER_ID,0))</f>
        <v/>
      </c>
      <c r="AE47" s="2767"/>
      <c r="AF47" s="2767"/>
      <c r="AG47" s="2767"/>
      <c r="AH47" s="2767"/>
      <c r="AI47" s="2767"/>
      <c r="AJ47" s="2767"/>
      <c r="AK47" s="2767"/>
      <c r="AL47" s="2767"/>
      <c r="AM47" s="2767"/>
      <c r="AN47" s="2767"/>
      <c r="AO47" s="2767"/>
      <c r="AP47" s="2767"/>
      <c r="AQ47" s="2767"/>
      <c r="AR47" s="2767"/>
      <c r="AS47" s="2767"/>
      <c r="AT47" s="2767"/>
      <c r="AU47" s="2767"/>
      <c r="AV47" s="2767"/>
      <c r="AW47" s="2767"/>
      <c r="AX47" s="2767"/>
      <c r="AY47" s="2767"/>
      <c r="AZ47" s="2767"/>
      <c r="BA47" s="2767"/>
      <c r="BB47" s="2768"/>
      <c r="BC47" s="1176" t="s">
        <v>400</v>
      </c>
      <c r="BE47" s="435"/>
      <c r="BF47" s="435" t="str">
        <f t="shared" si="3"/>
        <v>Территория действия тарифа</v>
      </c>
      <c r="BG47" s="435"/>
      <c r="BH47" s="435"/>
      <c r="BI47" s="1073">
        <v>21</v>
      </c>
    </row>
    <row r="48" spans="1:61" ht="35.65" customHeight="1">
      <c r="A48" s="1281" t="s">
        <v>278</v>
      </c>
      <c r="B48" s="1281" t="s">
        <v>279</v>
      </c>
      <c r="C48" s="1281" t="s">
        <v>280</v>
      </c>
      <c r="D48" s="1281"/>
      <c r="E48" s="2779"/>
      <c r="F48" s="2779"/>
      <c r="G48" s="2778">
        <v>1</v>
      </c>
      <c r="H48" s="1281"/>
      <c r="I48" s="1281"/>
      <c r="J48" s="1281"/>
      <c r="K48" s="1281"/>
      <c r="L48" s="1282"/>
      <c r="M48" s="1283"/>
      <c r="N48" s="1283"/>
      <c r="O48" s="1283"/>
      <c r="P48" s="1330"/>
      <c r="Q48" s="1329"/>
      <c r="R48" s="288"/>
      <c r="S48" s="1411" t="str">
        <f>INDEX(PT_DIFFERENTIATION_NUM_CS,MATCH(C48,PT_DIFFERENTIATION_CS_ID,0))</f>
        <v>..</v>
      </c>
      <c r="T48" s="245" t="s">
        <v>518</v>
      </c>
      <c r="U48" s="236"/>
      <c r="V48" s="2767"/>
      <c r="W48" s="2767"/>
      <c r="X48" s="2767"/>
      <c r="Y48" s="2767"/>
      <c r="Z48" s="2767"/>
      <c r="AA48" s="2767"/>
      <c r="AB48" s="2767"/>
      <c r="AC48" s="2768"/>
      <c r="AD48" s="2766" t="str">
        <f>INDEX(PT_DIFFERENTIATION_CS,MATCH(C48,PT_DIFFERENTIATION_CS_ID,0))</f>
        <v/>
      </c>
      <c r="AE48" s="2767"/>
      <c r="AF48" s="2767"/>
      <c r="AG48" s="2767"/>
      <c r="AH48" s="2767"/>
      <c r="AI48" s="2767"/>
      <c r="AJ48" s="2767"/>
      <c r="AK48" s="2767"/>
      <c r="AL48" s="2767"/>
      <c r="AM48" s="2767"/>
      <c r="AN48" s="2767"/>
      <c r="AO48" s="2767"/>
      <c r="AP48" s="2767"/>
      <c r="AQ48" s="2767"/>
      <c r="AR48" s="2767"/>
      <c r="AS48" s="2767"/>
      <c r="AT48" s="2767"/>
      <c r="AU48" s="2767"/>
      <c r="AV48" s="2767"/>
      <c r="AW48" s="2767"/>
      <c r="AX48" s="2767"/>
      <c r="AY48" s="2767"/>
      <c r="AZ48" s="2767"/>
      <c r="BA48" s="2767"/>
      <c r="BB48" s="2768"/>
      <c r="BC48" s="1176" t="s">
        <v>519</v>
      </c>
      <c r="BE48" s="435"/>
      <c r="BF48" s="435" t="str">
        <f t="shared" si="3"/>
        <v>Наименование централизованной системы водоотведения</v>
      </c>
      <c r="BG48" s="435"/>
      <c r="BH48" s="435"/>
      <c r="BI48" s="1073">
        <v>34</v>
      </c>
    </row>
    <row r="49" spans="1:61" s="2520" customFormat="1" ht="0" hidden="1" customHeight="1">
      <c r="A49" s="1261" t="s">
        <v>278</v>
      </c>
      <c r="B49" s="1261" t="s">
        <v>279</v>
      </c>
      <c r="C49" s="1261" t="s">
        <v>280</v>
      </c>
      <c r="D49" s="1261" t="s">
        <v>531</v>
      </c>
      <c r="E49" s="2779"/>
      <c r="F49" s="2779"/>
      <c r="G49" s="2779"/>
      <c r="H49" s="2778">
        <v>1</v>
      </c>
      <c r="I49" s="1261"/>
      <c r="J49" s="1261"/>
      <c r="K49" s="1261"/>
      <c r="L49" s="1264"/>
      <c r="M49" s="1233"/>
      <c r="N49" s="1233"/>
      <c r="O49" s="1233"/>
      <c r="P49" s="1415"/>
      <c r="Q49" s="1416"/>
      <c r="R49" s="292"/>
      <c r="S49" s="964"/>
      <c r="T49" s="1417"/>
      <c r="U49" s="1302"/>
      <c r="V49" s="2796"/>
      <c r="W49" s="2796"/>
      <c r="X49" s="2796"/>
      <c r="Y49" s="2796"/>
      <c r="Z49" s="2796"/>
      <c r="AA49" s="2796"/>
      <c r="AB49" s="2796"/>
      <c r="AC49" s="2797"/>
      <c r="AD49" s="2795"/>
      <c r="AE49" s="2796"/>
      <c r="AF49" s="2796"/>
      <c r="AG49" s="2796"/>
      <c r="AH49" s="2796"/>
      <c r="AI49" s="2796"/>
      <c r="AJ49" s="2796"/>
      <c r="AK49" s="2796"/>
      <c r="AL49" s="2796"/>
      <c r="AM49" s="2796"/>
      <c r="AN49" s="2796"/>
      <c r="AO49" s="2796"/>
      <c r="AP49" s="2796"/>
      <c r="AQ49" s="2796"/>
      <c r="AR49" s="2796"/>
      <c r="AS49" s="2796"/>
      <c r="AT49" s="2796"/>
      <c r="AU49" s="2796"/>
      <c r="AV49" s="2796"/>
      <c r="AW49" s="2796"/>
      <c r="AX49" s="2796"/>
      <c r="AY49" s="2796"/>
      <c r="AZ49" s="2796"/>
      <c r="BA49" s="2796"/>
      <c r="BB49" s="2797"/>
      <c r="BC49" s="1303" t="s">
        <v>404</v>
      </c>
      <c r="BE49" s="435"/>
      <c r="BF49" s="435" t="str">
        <f t="shared" si="3"/>
        <v/>
      </c>
      <c r="BG49" s="435"/>
      <c r="BH49" s="435"/>
      <c r="BI49" s="446">
        <v>0</v>
      </c>
    </row>
    <row r="50" spans="1:61" s="2520" customFormat="1" ht="0" hidden="1" customHeight="1">
      <c r="A50" s="1261" t="s">
        <v>278</v>
      </c>
      <c r="B50" s="1261" t="s">
        <v>279</v>
      </c>
      <c r="C50" s="1261" t="s">
        <v>280</v>
      </c>
      <c r="D50" s="1261" t="s">
        <v>531</v>
      </c>
      <c r="E50" s="2779"/>
      <c r="F50" s="2779"/>
      <c r="G50" s="2779"/>
      <c r="H50" s="2779"/>
      <c r="I50" s="2776" t="str">
        <f>S49&amp;".1"</f>
        <v>.1</v>
      </c>
      <c r="J50" s="1261"/>
      <c r="K50" s="1261"/>
      <c r="L50" s="1264" t="s">
        <v>405</v>
      </c>
      <c r="M50" s="445"/>
      <c r="N50" s="445"/>
      <c r="O50" s="445"/>
      <c r="P50" s="2777">
        <v>1</v>
      </c>
      <c r="Q50" s="1399"/>
      <c r="R50" s="291"/>
      <c r="S50" s="964"/>
      <c r="T50" s="1301"/>
      <c r="U50" s="1302"/>
      <c r="V50" s="2796"/>
      <c r="W50" s="2796"/>
      <c r="X50" s="2796"/>
      <c r="Y50" s="2796"/>
      <c r="Z50" s="2796"/>
      <c r="AA50" s="2796"/>
      <c r="AB50" s="2796"/>
      <c r="AC50" s="2797"/>
      <c r="AD50" s="2795"/>
      <c r="AE50" s="2796"/>
      <c r="AF50" s="2796"/>
      <c r="AG50" s="2796"/>
      <c r="AH50" s="2796"/>
      <c r="AI50" s="2796"/>
      <c r="AJ50" s="2796"/>
      <c r="AK50" s="2796"/>
      <c r="AL50" s="2796"/>
      <c r="AM50" s="2796"/>
      <c r="AN50" s="2796"/>
      <c r="AO50" s="2796"/>
      <c r="AP50" s="2796"/>
      <c r="AQ50" s="2796"/>
      <c r="AR50" s="2796"/>
      <c r="AS50" s="2796"/>
      <c r="AT50" s="2796"/>
      <c r="AU50" s="2796"/>
      <c r="AV50" s="2796"/>
      <c r="AW50" s="2796"/>
      <c r="AX50" s="2796"/>
      <c r="AY50" s="2796"/>
      <c r="AZ50" s="2796"/>
      <c r="BA50" s="2796"/>
      <c r="BB50" s="2797"/>
      <c r="BC50" s="1303"/>
      <c r="BE50" s="435"/>
      <c r="BF50" s="435" t="str">
        <f t="shared" si="3"/>
        <v/>
      </c>
      <c r="BG50" s="435"/>
      <c r="BH50" s="435"/>
      <c r="BI50" s="446">
        <v>0</v>
      </c>
    </row>
    <row r="51" spans="1:61" s="2520" customFormat="1" ht="0" hidden="1" customHeight="1">
      <c r="A51" s="1261" t="s">
        <v>278</v>
      </c>
      <c r="B51" s="1261" t="s">
        <v>279</v>
      </c>
      <c r="C51" s="1261" t="s">
        <v>280</v>
      </c>
      <c r="D51" s="1261" t="s">
        <v>531</v>
      </c>
      <c r="E51" s="2779"/>
      <c r="F51" s="2779"/>
      <c r="G51" s="2779"/>
      <c r="H51" s="2779"/>
      <c r="I51" s="2787"/>
      <c r="J51" s="2776" t="str">
        <f>S49&amp;".1"</f>
        <v>.1</v>
      </c>
      <c r="K51" s="1261"/>
      <c r="L51" s="1264"/>
      <c r="M51" s="445"/>
      <c r="N51" s="445"/>
      <c r="O51" s="445"/>
      <c r="P51" s="2777"/>
      <c r="Q51" s="2777">
        <v>1</v>
      </c>
      <c r="R51" s="292"/>
      <c r="S51" s="964"/>
      <c r="T51" s="1317"/>
      <c r="U51" s="1302"/>
      <c r="V51" s="2796"/>
      <c r="W51" s="2796"/>
      <c r="X51" s="2796"/>
      <c r="Y51" s="2796"/>
      <c r="Z51" s="2796"/>
      <c r="AA51" s="2796"/>
      <c r="AB51" s="2796"/>
      <c r="AC51" s="2797"/>
      <c r="AD51" s="2795"/>
      <c r="AE51" s="2796"/>
      <c r="AF51" s="2796"/>
      <c r="AG51" s="2796"/>
      <c r="AH51" s="2796"/>
      <c r="AI51" s="2796"/>
      <c r="AJ51" s="2796"/>
      <c r="AK51" s="2796"/>
      <c r="AL51" s="2796"/>
      <c r="AM51" s="2796"/>
      <c r="AN51" s="2847"/>
      <c r="AO51" s="2847"/>
      <c r="AP51" s="2796"/>
      <c r="AQ51" s="2796"/>
      <c r="AR51" s="2796"/>
      <c r="AS51" s="2796"/>
      <c r="AT51" s="2796"/>
      <c r="AU51" s="2796"/>
      <c r="AV51" s="2796"/>
      <c r="AW51" s="2796"/>
      <c r="AX51" s="2796"/>
      <c r="AY51" s="2796"/>
      <c r="AZ51" s="2796"/>
      <c r="BA51" s="2796"/>
      <c r="BB51" s="2797"/>
      <c r="BC51" s="1303"/>
      <c r="BE51" s="435"/>
      <c r="BF51" s="435" t="str">
        <f t="shared" si="3"/>
        <v/>
      </c>
      <c r="BG51" s="435"/>
      <c r="BH51" s="435"/>
      <c r="BI51" s="446">
        <v>0</v>
      </c>
    </row>
    <row r="52" spans="1:61" ht="11.45" customHeight="1">
      <c r="A52" s="1281" t="s">
        <v>278</v>
      </c>
      <c r="B52" s="1281" t="s">
        <v>279</v>
      </c>
      <c r="C52" s="1281" t="s">
        <v>280</v>
      </c>
      <c r="D52" s="1281" t="s">
        <v>531</v>
      </c>
      <c r="E52" s="2779"/>
      <c r="F52" s="2779"/>
      <c r="G52" s="2779"/>
      <c r="H52" s="2779"/>
      <c r="I52" s="2787"/>
      <c r="J52" s="2787"/>
      <c r="K52" s="2776" t="str">
        <f>S48&amp;".1"</f>
        <v>...1</v>
      </c>
      <c r="L52" s="1282"/>
      <c r="P52" s="2777"/>
      <c r="Q52" s="2777"/>
      <c r="R52" s="292">
        <v>1</v>
      </c>
      <c r="S52" s="2824" t="str">
        <f>$K52</f>
        <v>...1</v>
      </c>
      <c r="T52" s="2843"/>
      <c r="U52" s="236"/>
      <c r="V52" s="686"/>
      <c r="W52" s="1175"/>
      <c r="X52" s="686"/>
      <c r="Y52" s="1175"/>
      <c r="Z52" s="1651"/>
      <c r="AA52" s="1387" t="s">
        <v>66</v>
      </c>
      <c r="AB52" s="1651"/>
      <c r="AC52" s="1387" t="s">
        <v>66</v>
      </c>
      <c r="AD52" s="2647" t="s">
        <v>66</v>
      </c>
      <c r="AE52" s="2809"/>
      <c r="AF52" s="2720">
        <v>1</v>
      </c>
      <c r="AG52" s="2846"/>
      <c r="AH52" s="2619" t="s">
        <v>66</v>
      </c>
      <c r="AI52" s="2809"/>
      <c r="AJ52" s="2720">
        <v>1</v>
      </c>
      <c r="AK52" s="2810" t="s">
        <v>28</v>
      </c>
      <c r="AL52" s="2619" t="s">
        <v>66</v>
      </c>
      <c r="AM52" s="2710"/>
      <c r="AN52" s="2720">
        <v>1</v>
      </c>
      <c r="AO52" s="2840"/>
      <c r="AP52" s="2841" t="s">
        <v>66</v>
      </c>
      <c r="AQ52" s="247"/>
      <c r="AR52" s="1404">
        <v>1</v>
      </c>
      <c r="AS52" s="1410" t="s">
        <v>28</v>
      </c>
      <c r="AT52" s="686"/>
      <c r="AU52" s="1175"/>
      <c r="AV52" s="686"/>
      <c r="AW52" s="1175"/>
      <c r="AX52" s="1651"/>
      <c r="AY52" s="1387" t="s">
        <v>66</v>
      </c>
      <c r="AZ52" s="1651"/>
      <c r="BA52" s="1387" t="s">
        <v>66</v>
      </c>
      <c r="BB52" s="1266"/>
      <c r="BC52" s="2773" t="s">
        <v>503</v>
      </c>
      <c r="BE52" s="435"/>
      <c r="BF52" s="435" t="str">
        <f t="shared" si="3"/>
        <v/>
      </c>
      <c r="BG52" s="435"/>
      <c r="BH52" s="435"/>
      <c r="BI52" s="1073">
        <v>11</v>
      </c>
    </row>
    <row r="53" spans="1:61" ht="11.45" customHeight="1">
      <c r="A53" s="1281"/>
      <c r="B53" s="1281"/>
      <c r="C53" s="1281"/>
      <c r="D53" s="1281"/>
      <c r="E53" s="2779"/>
      <c r="F53" s="2779"/>
      <c r="G53" s="2779"/>
      <c r="H53" s="2779"/>
      <c r="I53" s="2787"/>
      <c r="J53" s="2787"/>
      <c r="K53" s="2776"/>
      <c r="L53" s="1282"/>
      <c r="P53" s="2777"/>
      <c r="Q53" s="2777"/>
      <c r="R53" s="292"/>
      <c r="S53" s="2825"/>
      <c r="T53" s="2844"/>
      <c r="U53" s="236"/>
      <c r="V53" s="1311"/>
      <c r="W53" s="1414"/>
      <c r="X53" s="1311"/>
      <c r="Y53" s="1414"/>
      <c r="Z53" s="1311"/>
      <c r="AA53" s="1311"/>
      <c r="AB53" s="1311"/>
      <c r="AC53" s="1311"/>
      <c r="AD53" s="2648"/>
      <c r="AE53" s="2809"/>
      <c r="AF53" s="2720"/>
      <c r="AG53" s="2846"/>
      <c r="AH53" s="2619"/>
      <c r="AI53" s="2809"/>
      <c r="AJ53" s="2720"/>
      <c r="AK53" s="2810"/>
      <c r="AL53" s="2619"/>
      <c r="AM53" s="2715"/>
      <c r="AN53" s="2720"/>
      <c r="AO53" s="2840"/>
      <c r="AP53" s="2842"/>
      <c r="AQ53" s="252"/>
      <c r="AR53" s="351"/>
      <c r="AS53" s="351" t="s">
        <v>504</v>
      </c>
      <c r="AT53" s="1311"/>
      <c r="AU53" s="1414"/>
      <c r="AV53" s="1311"/>
      <c r="AW53" s="1414"/>
      <c r="AX53" s="1311"/>
      <c r="AY53" s="1311"/>
      <c r="AZ53" s="1311"/>
      <c r="BA53" s="1311"/>
      <c r="BB53" s="1315"/>
      <c r="BC53" s="2774"/>
      <c r="BE53" s="435"/>
      <c r="BF53" s="435"/>
      <c r="BG53" s="435"/>
      <c r="BH53" s="435"/>
      <c r="BI53" s="1073">
        <v>11</v>
      </c>
    </row>
    <row r="54" spans="1:61" ht="11.45" customHeight="1">
      <c r="A54" s="1281" t="s">
        <v>278</v>
      </c>
      <c r="B54" s="1281"/>
      <c r="C54" s="1281"/>
      <c r="D54" s="1281"/>
      <c r="E54" s="2779"/>
      <c r="F54" s="2779"/>
      <c r="G54" s="2779"/>
      <c r="H54" s="2779"/>
      <c r="I54" s="2787"/>
      <c r="J54" s="2787"/>
      <c r="K54" s="2776"/>
      <c r="L54" s="1282"/>
      <c r="P54" s="2777"/>
      <c r="Q54" s="2777"/>
      <c r="R54" s="292"/>
      <c r="S54" s="2825"/>
      <c r="T54" s="2844"/>
      <c r="U54" s="236"/>
      <c r="V54" s="1311"/>
      <c r="W54" s="1414"/>
      <c r="X54" s="1311"/>
      <c r="Y54" s="1414"/>
      <c r="Z54" s="1311"/>
      <c r="AA54" s="1311"/>
      <c r="AB54" s="1311"/>
      <c r="AC54" s="1311"/>
      <c r="AD54" s="2648"/>
      <c r="AE54" s="2809"/>
      <c r="AF54" s="2720"/>
      <c r="AG54" s="2846"/>
      <c r="AH54" s="2619"/>
      <c r="AI54" s="2809"/>
      <c r="AJ54" s="2720"/>
      <c r="AK54" s="2810"/>
      <c r="AL54" s="2619"/>
      <c r="AM54" s="252"/>
      <c r="AN54" s="1418"/>
      <c r="AO54" s="1418" t="s">
        <v>524</v>
      </c>
      <c r="AP54" s="351"/>
      <c r="AQ54" s="351"/>
      <c r="AR54" s="351"/>
      <c r="AS54" s="1311"/>
      <c r="AT54" s="1311"/>
      <c r="AU54" s="1414"/>
      <c r="AV54" s="1311"/>
      <c r="AW54" s="1414"/>
      <c r="AX54" s="1311"/>
      <c r="AY54" s="1311"/>
      <c r="AZ54" s="1311"/>
      <c r="BA54" s="1311"/>
      <c r="BB54" s="1315"/>
      <c r="BC54" s="2774"/>
      <c r="BE54" s="435"/>
      <c r="BF54" s="435"/>
      <c r="BG54" s="435"/>
      <c r="BH54" s="435"/>
      <c r="BI54" s="1073">
        <v>11</v>
      </c>
    </row>
    <row r="55" spans="1:61" ht="11.45" customHeight="1">
      <c r="A55" s="1281" t="s">
        <v>278</v>
      </c>
      <c r="B55" s="1281"/>
      <c r="C55" s="1281"/>
      <c r="D55" s="1281"/>
      <c r="E55" s="2779"/>
      <c r="F55" s="2779"/>
      <c r="G55" s="2779"/>
      <c r="H55" s="2779"/>
      <c r="I55" s="2787"/>
      <c r="J55" s="2787"/>
      <c r="K55" s="2776"/>
      <c r="L55" s="1282"/>
      <c r="P55" s="2777"/>
      <c r="Q55" s="2777"/>
      <c r="R55" s="292"/>
      <c r="S55" s="2825"/>
      <c r="T55" s="2844"/>
      <c r="U55" s="236"/>
      <c r="V55" s="1311"/>
      <c r="W55" s="1414"/>
      <c r="X55" s="1311"/>
      <c r="Y55" s="1414"/>
      <c r="Z55" s="1311"/>
      <c r="AA55" s="1311"/>
      <c r="AB55" s="1311"/>
      <c r="AC55" s="1311"/>
      <c r="AD55" s="2648"/>
      <c r="AE55" s="2809"/>
      <c r="AF55" s="2720"/>
      <c r="AG55" s="2846"/>
      <c r="AH55" s="2619"/>
      <c r="AI55" s="230"/>
      <c r="AJ55" s="350"/>
      <c r="AK55" s="249" t="s">
        <v>525</v>
      </c>
      <c r="AL55" s="1311"/>
      <c r="AM55" s="1311"/>
      <c r="AN55" s="1311"/>
      <c r="AO55" s="1311"/>
      <c r="AP55" s="1311"/>
      <c r="AQ55" s="1311"/>
      <c r="AR55" s="1311"/>
      <c r="AS55" s="1311"/>
      <c r="AT55" s="1311"/>
      <c r="AU55" s="1414"/>
      <c r="AV55" s="1311"/>
      <c r="AW55" s="1414"/>
      <c r="AX55" s="1311"/>
      <c r="AY55" s="1311"/>
      <c r="AZ55" s="1311"/>
      <c r="BA55" s="1311"/>
      <c r="BB55" s="1315"/>
      <c r="BC55" s="2774"/>
      <c r="BE55" s="435"/>
      <c r="BF55" s="435"/>
      <c r="BG55" s="435"/>
      <c r="BH55" s="435"/>
      <c r="BI55" s="1073">
        <v>11</v>
      </c>
    </row>
    <row r="56" spans="1:61" ht="11.45" customHeight="1">
      <c r="A56" s="1281" t="s">
        <v>278</v>
      </c>
      <c r="B56" s="1281" t="s">
        <v>279</v>
      </c>
      <c r="C56" s="1281" t="s">
        <v>280</v>
      </c>
      <c r="D56" s="1281" t="s">
        <v>531</v>
      </c>
      <c r="E56" s="2779"/>
      <c r="F56" s="2779"/>
      <c r="G56" s="2779"/>
      <c r="H56" s="2779"/>
      <c r="I56" s="2787"/>
      <c r="J56" s="2787"/>
      <c r="K56" s="2776"/>
      <c r="L56" s="1282"/>
      <c r="P56" s="2777"/>
      <c r="Q56" s="2777"/>
      <c r="R56" s="292"/>
      <c r="S56" s="2826"/>
      <c r="T56" s="2845"/>
      <c r="U56" s="236"/>
      <c r="V56" s="1311"/>
      <c r="W56" s="1312" t="str">
        <f>Z52&amp;"-"&amp;AB52</f>
        <v>-</v>
      </c>
      <c r="X56" s="1311"/>
      <c r="Y56" s="1312" t="str">
        <f>AB52&amp;"-"&amp;AD52</f>
        <v>-да</v>
      </c>
      <c r="Z56" s="1311"/>
      <c r="AA56" s="1311"/>
      <c r="AB56" s="1311"/>
      <c r="AC56" s="1311"/>
      <c r="AD56" s="2624"/>
      <c r="AE56" s="248"/>
      <c r="AF56" s="250"/>
      <c r="AG56" s="351" t="s">
        <v>507</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774"/>
      <c r="BE56" s="435"/>
      <c r="BF56" s="435" t="str">
        <f t="shared" ref="BF56:BF63" si="4">IF(T56="","",T56)</f>
        <v/>
      </c>
      <c r="BG56" s="435"/>
      <c r="BH56" s="435"/>
      <c r="BI56" s="1073">
        <v>11</v>
      </c>
    </row>
    <row r="57" spans="1:61" ht="11.45" customHeight="1">
      <c r="A57" s="1281" t="s">
        <v>278</v>
      </c>
      <c r="B57" s="1281" t="s">
        <v>279</v>
      </c>
      <c r="C57" s="1281" t="s">
        <v>280</v>
      </c>
      <c r="D57" s="1281" t="s">
        <v>531</v>
      </c>
      <c r="E57" s="2779"/>
      <c r="F57" s="2779"/>
      <c r="G57" s="2779"/>
      <c r="H57" s="2779"/>
      <c r="I57" s="2787"/>
      <c r="J57" s="2776"/>
      <c r="K57" s="1281"/>
      <c r="L57" s="1282"/>
      <c r="P57" s="2777"/>
      <c r="Q57" s="2777"/>
      <c r="R57" s="291"/>
      <c r="S57" s="1196"/>
      <c r="T57" s="223" t="s">
        <v>470</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775"/>
      <c r="BE57" s="435"/>
      <c r="BF57" s="435" t="str">
        <f t="shared" si="4"/>
        <v>Добавить строку</v>
      </c>
      <c r="BG57" s="435"/>
      <c r="BH57" s="435"/>
      <c r="BI57" s="1073">
        <v>11</v>
      </c>
    </row>
    <row r="58" spans="1:61" s="2520" customFormat="1" ht="0" hidden="1" customHeight="1">
      <c r="A58" s="1261" t="s">
        <v>278</v>
      </c>
      <c r="B58" s="1261" t="s">
        <v>279</v>
      </c>
      <c r="C58" s="1261" t="s">
        <v>280</v>
      </c>
      <c r="D58" s="1261" t="s">
        <v>531</v>
      </c>
      <c r="E58" s="2779"/>
      <c r="F58" s="2779"/>
      <c r="G58" s="2779"/>
      <c r="H58" s="2779"/>
      <c r="I58" s="2776"/>
      <c r="J58" s="1261"/>
      <c r="K58" s="1261"/>
      <c r="L58" s="1264"/>
      <c r="M58" s="445"/>
      <c r="N58" s="445"/>
      <c r="O58" s="445"/>
      <c r="P58" s="2777"/>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520" customFormat="1" ht="0" hidden="1" customHeight="1">
      <c r="A59" s="1261" t="s">
        <v>278</v>
      </c>
      <c r="B59" s="1261" t="s">
        <v>279</v>
      </c>
      <c r="C59" s="1261" t="s">
        <v>280</v>
      </c>
      <c r="D59" s="1261" t="s">
        <v>531</v>
      </c>
      <c r="E59" s="2779"/>
      <c r="F59" s="2779"/>
      <c r="G59" s="2779"/>
      <c r="H59" s="2778"/>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520" customFormat="1" ht="0" hidden="1" customHeight="1">
      <c r="A60" s="1261" t="s">
        <v>278</v>
      </c>
      <c r="B60" s="1261" t="s">
        <v>279</v>
      </c>
      <c r="C60" s="1261" t="s">
        <v>280</v>
      </c>
      <c r="D60" s="1232"/>
      <c r="E60" s="2779"/>
      <c r="F60" s="2779"/>
      <c r="G60" s="2778"/>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520" customFormat="1" ht="0" hidden="1" customHeight="1">
      <c r="A61" s="1261" t="s">
        <v>278</v>
      </c>
      <c r="B61" s="1261" t="s">
        <v>279</v>
      </c>
      <c r="C61" s="1232"/>
      <c r="D61" s="1232"/>
      <c r="E61" s="2779"/>
      <c r="F61" s="2778"/>
      <c r="G61" s="1232"/>
      <c r="H61" s="1232"/>
      <c r="I61" s="1232"/>
      <c r="J61" s="1232"/>
      <c r="K61" s="1232"/>
      <c r="L61" s="1412"/>
      <c r="M61" s="1239"/>
      <c r="N61" s="1239"/>
      <c r="P61" s="1234"/>
      <c r="Q61" s="1235"/>
      <c r="R61" s="1234"/>
      <c r="S61" s="1240"/>
      <c r="T61" s="1243" t="s">
        <v>161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520" customFormat="1" ht="0" hidden="1" customHeight="1">
      <c r="A62" s="1261" t="s">
        <v>278</v>
      </c>
      <c r="B62" s="1261"/>
      <c r="C62" s="1261"/>
      <c r="D62" s="1261"/>
      <c r="E62" s="2778"/>
      <c r="F62" s="1261"/>
      <c r="G62" s="1261"/>
      <c r="H62" s="1261"/>
      <c r="I62" s="1261"/>
      <c r="J62" s="1261"/>
      <c r="K62" s="1261"/>
      <c r="L62" s="1264"/>
      <c r="M62" s="1239"/>
      <c r="N62" s="1239"/>
      <c r="O62" s="453"/>
      <c r="P62" s="315"/>
      <c r="Q62" s="1262"/>
      <c r="R62" s="315"/>
      <c r="S62" s="1240"/>
      <c r="T62" s="1243" t="s">
        <v>162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520"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163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786"/>
      <c r="U65" s="2786"/>
      <c r="V65" s="2786"/>
      <c r="W65" s="2786"/>
      <c r="X65" s="2786"/>
      <c r="Y65" s="2786"/>
      <c r="Z65" s="2786"/>
      <c r="AA65" s="2786"/>
      <c r="AB65" s="2786"/>
      <c r="AC65" s="2786"/>
      <c r="AD65" s="2786"/>
      <c r="AE65" s="2786"/>
      <c r="AF65" s="2786"/>
      <c r="AG65" s="2786"/>
      <c r="AH65" s="2786"/>
      <c r="AI65" s="2786"/>
      <c r="AJ65" s="2786"/>
      <c r="AK65" s="2786"/>
      <c r="AL65" s="2786"/>
      <c r="AM65" s="2786"/>
      <c r="AN65" s="2786"/>
      <c r="AO65" s="2786"/>
      <c r="AP65" s="2786"/>
      <c r="AQ65" s="2786"/>
      <c r="AR65" s="2786"/>
      <c r="AS65" s="2786"/>
      <c r="AT65" s="2786"/>
      <c r="AU65" s="2786"/>
      <c r="AV65" s="2786"/>
      <c r="AW65" s="2786"/>
      <c r="AX65" s="2786"/>
      <c r="AY65" s="2786"/>
      <c r="AZ65" s="2786"/>
      <c r="BA65" s="2786"/>
      <c r="BB65" s="2786"/>
      <c r="BC65" s="2786"/>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786"/>
      <c r="U67" s="2786"/>
      <c r="V67" s="2786"/>
      <c r="W67" s="2786"/>
      <c r="X67" s="2786"/>
      <c r="Y67" s="2786"/>
      <c r="Z67" s="2786"/>
      <c r="AA67" s="2786"/>
      <c r="AB67" s="2786"/>
      <c r="AC67" s="2786"/>
      <c r="AD67" s="2786"/>
      <c r="AE67" s="2786"/>
      <c r="AF67" s="2786"/>
      <c r="AG67" s="2786"/>
      <c r="AH67" s="2786"/>
      <c r="AI67" s="2786"/>
      <c r="AJ67" s="2786"/>
      <c r="AK67" s="2786"/>
      <c r="AL67" s="2786"/>
      <c r="AM67" s="2786"/>
      <c r="AN67" s="2786"/>
      <c r="AO67" s="2786"/>
      <c r="AP67" s="2786"/>
      <c r="AQ67" s="2786"/>
      <c r="AR67" s="2786"/>
      <c r="AS67" s="2786"/>
      <c r="AT67" s="2786"/>
      <c r="AU67" s="2786"/>
      <c r="AV67" s="2786"/>
      <c r="AW67" s="2786"/>
      <c r="AX67" s="2786"/>
      <c r="AY67" s="2786"/>
      <c r="AZ67" s="2786"/>
      <c r="BA67" s="2786"/>
      <c r="BB67" s="2786"/>
      <c r="BC67" s="2786"/>
      <c r="BI67" s="1073">
        <v>14</v>
      </c>
    </row>
    <row r="68" spans="1:61" ht="14.65" customHeight="1">
      <c r="O68" s="472"/>
      <c r="BI68" s="1073">
        <v>14</v>
      </c>
    </row>
    <row r="69" spans="1:61" ht="14.25" hidden="1" customHeight="1">
      <c r="A69" s="1078" t="s">
        <v>81</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513" hidden="1" customWidth="1"/>
    <col min="2" max="2" width="6" style="2519" hidden="1" customWidth="1"/>
    <col min="3" max="3" width="3" style="2513" customWidth="1"/>
    <col min="4" max="4" width="3" style="2525" customWidth="1"/>
    <col min="5" max="5" width="6" style="2513" customWidth="1"/>
    <col min="6" max="6" width="2.7109375" style="2513" hidden="1" customWidth="1"/>
    <col min="7" max="7" width="46.7109375" style="2513" customWidth="1"/>
    <col min="8" max="8" width="42" style="2513" customWidth="1"/>
    <col min="9" max="9" width="14" style="2513" customWidth="1"/>
    <col min="10" max="10" width="3" style="2526" customWidth="1"/>
    <col min="11" max="13" width="9.140625" style="2526" hidden="1"/>
    <col min="14" max="14" width="25.7109375" style="2526" hidden="1" customWidth="1"/>
    <col min="15" max="15" width="14.42578125" style="2526" hidden="1" customWidth="1"/>
    <col min="16" max="19" width="9.140625" style="2527" hidden="1"/>
    <col min="20" max="27" width="9.140625" style="2513" hidden="1"/>
    <col min="28" max="28" width="8" style="2513" customWidth="1"/>
    <col min="29" max="29" width="9.140625" style="2513" hidden="1"/>
  </cols>
  <sheetData>
    <row r="1" spans="1:29" s="2520" customFormat="1" ht="5.25" hidden="1" customHeight="1">
      <c r="A1" s="431"/>
      <c r="B1" s="446"/>
      <c r="C1" s="446"/>
      <c r="D1" s="157"/>
      <c r="F1" s="446"/>
      <c r="G1" s="183" t="s">
        <v>82</v>
      </c>
      <c r="H1" s="429" t="s">
        <v>83</v>
      </c>
      <c r="I1" s="163" t="s">
        <v>84</v>
      </c>
      <c r="J1" s="183" t="s">
        <v>82</v>
      </c>
      <c r="K1" s="183"/>
      <c r="L1" s="183"/>
      <c r="M1" s="183"/>
      <c r="N1" s="184"/>
      <c r="O1" s="183"/>
      <c r="P1" s="183"/>
      <c r="Q1" s="183"/>
      <c r="R1" s="183"/>
      <c r="S1" s="183"/>
      <c r="T1" s="163"/>
      <c r="U1" s="163"/>
      <c r="V1" s="163"/>
      <c r="W1" s="163"/>
      <c r="X1" s="163"/>
      <c r="Y1" s="163"/>
      <c r="Z1" s="163"/>
      <c r="AA1" s="163"/>
      <c r="AB1" s="163"/>
      <c r="AC1" s="89" t="s">
        <v>14</v>
      </c>
    </row>
    <row r="2" spans="1:29" s="2521"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522" customFormat="1" ht="3" customHeight="1">
      <c r="A3" s="691"/>
      <c r="B3" s="352"/>
      <c r="C3" s="691"/>
      <c r="D3" s="100"/>
      <c r="E3" s="42"/>
      <c r="F3" s="444"/>
      <c r="G3" s="42"/>
      <c r="H3" s="42"/>
      <c r="I3" s="102"/>
      <c r="J3" s="183"/>
      <c r="K3" s="92"/>
      <c r="L3" s="92"/>
      <c r="M3" s="92"/>
      <c r="N3" s="162"/>
      <c r="O3" s="92"/>
      <c r="P3" s="161"/>
      <c r="Q3" s="161"/>
      <c r="R3" s="161"/>
      <c r="S3" s="161"/>
      <c r="AC3" s="55">
        <v>3</v>
      </c>
    </row>
    <row r="4" spans="1:29" s="2522" customFormat="1" ht="27.4" customHeight="1">
      <c r="A4" s="691"/>
      <c r="B4" s="352"/>
      <c r="C4" s="691"/>
      <c r="D4" s="100"/>
      <c r="E4" s="2614" t="str">
        <f>NameTemplatesInListMO</f>
        <v>Перечень муниципальных районов и муниципальных образований (территорий действия тарифа)</v>
      </c>
      <c r="F4" s="2614"/>
      <c r="G4" s="2614"/>
      <c r="H4" s="2614"/>
      <c r="I4" s="2614"/>
      <c r="J4" s="183"/>
      <c r="K4" s="92"/>
      <c r="L4" s="92"/>
      <c r="M4" s="92"/>
      <c r="N4" s="162"/>
      <c r="O4" s="92"/>
      <c r="P4" s="161"/>
      <c r="Q4" s="161"/>
      <c r="R4" s="161"/>
      <c r="S4" s="161"/>
      <c r="AC4" s="55">
        <v>26</v>
      </c>
    </row>
    <row r="5" spans="1:29" s="2522" customFormat="1" ht="3" customHeight="1">
      <c r="A5" s="691"/>
      <c r="B5" s="352"/>
      <c r="C5" s="691"/>
      <c r="D5" s="100"/>
      <c r="E5" s="42"/>
      <c r="F5" s="444"/>
      <c r="G5" s="103"/>
      <c r="H5" s="103"/>
      <c r="I5" s="104"/>
      <c r="J5" s="92"/>
      <c r="K5" s="92"/>
      <c r="L5" s="92"/>
      <c r="M5" s="92"/>
      <c r="N5" s="162"/>
      <c r="O5" s="92"/>
      <c r="P5" s="161"/>
      <c r="Q5" s="161"/>
      <c r="R5" s="161"/>
      <c r="S5" s="161"/>
      <c r="AC5" s="55">
        <v>3</v>
      </c>
    </row>
    <row r="6" spans="1:29" s="2522"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522" customFormat="1" ht="14.65" customHeight="1">
      <c r="A8" s="691"/>
      <c r="B8" s="352"/>
      <c r="C8" s="691"/>
      <c r="D8" s="100"/>
      <c r="E8" s="2610" t="s">
        <v>85</v>
      </c>
      <c r="F8" s="2615"/>
      <c r="G8" s="2609"/>
      <c r="H8" s="2616" t="s">
        <v>86</v>
      </c>
      <c r="I8" s="2616"/>
      <c r="J8" s="92"/>
      <c r="K8" s="92"/>
      <c r="L8" s="92"/>
      <c r="M8" s="92"/>
      <c r="N8" s="162"/>
      <c r="O8" s="92"/>
      <c r="P8" s="161"/>
      <c r="Q8" s="161"/>
      <c r="R8" s="161"/>
      <c r="S8" s="161"/>
      <c r="AC8" s="55">
        <v>14</v>
      </c>
    </row>
    <row r="9" spans="1:29" s="2522" customFormat="1" ht="21" customHeight="1">
      <c r="A9" s="691"/>
      <c r="B9" s="352"/>
      <c r="C9" s="691"/>
      <c r="D9" s="100"/>
      <c r="E9" s="707" t="s">
        <v>87</v>
      </c>
      <c r="F9" s="707"/>
      <c r="G9" s="108" t="s">
        <v>88</v>
      </c>
      <c r="H9" s="108" t="s">
        <v>88</v>
      </c>
      <c r="I9" s="108" t="s">
        <v>84</v>
      </c>
      <c r="J9" s="92"/>
      <c r="K9" s="92"/>
      <c r="L9" s="92"/>
      <c r="M9" s="92"/>
      <c r="N9" s="162"/>
      <c r="O9" s="92"/>
      <c r="P9" s="161"/>
      <c r="Q9" s="161"/>
      <c r="R9" s="161"/>
      <c r="S9" s="161"/>
      <c r="AC9" s="55">
        <v>20</v>
      </c>
    </row>
    <row r="10" spans="1:29" ht="11.45" customHeight="1">
      <c r="D10" s="112"/>
      <c r="E10" s="708" t="s">
        <v>89</v>
      </c>
      <c r="F10" s="708"/>
      <c r="G10" s="159" t="s">
        <v>90</v>
      </c>
      <c r="H10" s="159" t="s">
        <v>91</v>
      </c>
      <c r="I10" s="159" t="s">
        <v>92</v>
      </c>
      <c r="J10" s="122"/>
      <c r="K10" s="122"/>
      <c r="L10" s="122"/>
      <c r="M10" s="122"/>
      <c r="N10" s="107"/>
      <c r="O10" s="122"/>
      <c r="P10" s="160"/>
      <c r="Q10" s="160"/>
      <c r="R10" s="160"/>
      <c r="S10" s="160"/>
      <c r="AC10" s="22">
        <v>11</v>
      </c>
    </row>
    <row r="11" spans="1:29" s="2522" customFormat="1" ht="1.1499999999999999" customHeight="1">
      <c r="A11" s="691"/>
      <c r="B11" s="352"/>
      <c r="C11" s="691"/>
      <c r="D11" s="100"/>
      <c r="E11" s="719"/>
      <c r="F11" s="719"/>
      <c r="G11" s="109"/>
      <c r="H11" s="109"/>
      <c r="I11" s="111"/>
      <c r="J11" s="185" t="s">
        <v>93</v>
      </c>
      <c r="K11" s="92"/>
      <c r="L11" s="92"/>
      <c r="M11" s="92" t="s">
        <v>94</v>
      </c>
      <c r="N11" s="162" t="s">
        <v>95</v>
      </c>
      <c r="O11" s="92" t="s">
        <v>96</v>
      </c>
      <c r="P11" s="161"/>
      <c r="Q11" s="161"/>
      <c r="R11" s="161"/>
      <c r="S11" s="161"/>
      <c r="AC11" s="55">
        <v>1</v>
      </c>
    </row>
    <row r="12" spans="1:29" s="2522" customFormat="1" ht="15" customHeight="1">
      <c r="A12" s="2613">
        <v>1</v>
      </c>
      <c r="B12" s="352"/>
      <c r="C12" s="691"/>
      <c r="D12" s="711"/>
      <c r="E12" s="155">
        <f>A12</f>
        <v>1</v>
      </c>
      <c r="F12" s="731" t="s">
        <v>97</v>
      </c>
      <c r="G12" s="475" t="str">
        <f>"Территория "&amp;E12</f>
        <v>Территория 1</v>
      </c>
      <c r="H12" s="721"/>
      <c r="I12" s="721"/>
      <c r="J12" s="718"/>
      <c r="K12" s="435"/>
      <c r="L12" s="435"/>
      <c r="M12" s="435"/>
      <c r="N12" s="162"/>
      <c r="O12" s="435"/>
      <c r="P12" s="161"/>
      <c r="Q12" s="161"/>
      <c r="R12" s="161"/>
      <c r="S12" s="161"/>
      <c r="AC12" s="442">
        <v>14</v>
      </c>
    </row>
    <row r="13" spans="1:29" s="2523" customFormat="1" ht="15.75" customHeight="1">
      <c r="A13" s="2613"/>
      <c r="B13" s="352">
        <v>1</v>
      </c>
      <c r="C13" s="352"/>
      <c r="D13" s="729"/>
      <c r="E13" s="710" t="str">
        <f>A12&amp;"."&amp;B13</f>
        <v>1.1</v>
      </c>
      <c r="F13" s="724" t="s">
        <v>98</v>
      </c>
      <c r="G13" s="722" t="s">
        <v>99</v>
      </c>
      <c r="H13" s="722" t="s">
        <v>99</v>
      </c>
      <c r="I13" s="720" t="s">
        <v>100</v>
      </c>
      <c r="J13" s="435" t="e">
        <f ca="1">MERGEVALUE(G13)</f>
        <v>#NAME?</v>
      </c>
      <c r="K13" s="446"/>
      <c r="L13" s="446"/>
      <c r="M13" s="435" t="str">
        <f t="array" ref="M13">IF(ISERROR(MATCH(MID(N13,1,250),MID(note_ter,1,250),0)),"n","y")</f>
        <v>n</v>
      </c>
      <c r="N13" s="446"/>
      <c r="O13" s="435" t="str">
        <f>H13&amp;"("&amp;I13&amp;")"</f>
        <v>город Ноябрьск(71958000)</v>
      </c>
      <c r="P13" s="352"/>
      <c r="Q13" s="352"/>
      <c r="R13" s="355"/>
      <c r="S13" s="352"/>
      <c r="T13" s="352"/>
      <c r="U13" s="352"/>
      <c r="V13" s="357"/>
      <c r="W13" s="357"/>
      <c r="X13" s="354"/>
      <c r="Y13" s="354"/>
      <c r="Z13" s="354"/>
      <c r="AA13" s="354"/>
      <c r="AB13" s="354"/>
      <c r="AC13" s="358">
        <v>15</v>
      </c>
    </row>
    <row r="14" spans="1:29" s="2523" customFormat="1" ht="15.75" customHeight="1">
      <c r="A14" s="2613"/>
      <c r="B14" s="352"/>
      <c r="C14" s="347"/>
      <c r="D14" s="730"/>
      <c r="E14" s="356"/>
      <c r="F14" s="113"/>
      <c r="G14" s="350" t="s">
        <v>101</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522" customFormat="1" ht="14.65" customHeight="1">
      <c r="A15" s="691"/>
      <c r="B15" s="352"/>
      <c r="C15" s="691"/>
      <c r="D15" s="711"/>
      <c r="E15" s="723"/>
      <c r="F15" s="114"/>
      <c r="G15" s="351" t="s">
        <v>102</v>
      </c>
      <c r="H15" s="114"/>
      <c r="I15" s="115"/>
      <c r="J15" s="185"/>
      <c r="K15" s="92"/>
      <c r="L15" s="92"/>
      <c r="M15" s="92"/>
      <c r="N15" s="162" t="s">
        <v>103</v>
      </c>
      <c r="O15" s="92"/>
      <c r="P15" s="161"/>
      <c r="Q15" s="161"/>
      <c r="R15" s="161"/>
      <c r="S15" s="161"/>
      <c r="AC15" s="55">
        <v>14</v>
      </c>
    </row>
    <row r="16" spans="1:29" s="2522"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522"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522"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524" customFormat="1" ht="10.5" customHeight="1">
      <c r="B19" s="763"/>
      <c r="D19" s="118"/>
      <c r="J19" s="92"/>
      <c r="K19" s="92"/>
      <c r="L19" s="92"/>
      <c r="M19" s="92"/>
      <c r="N19" s="162"/>
      <c r="O19" s="92"/>
      <c r="P19" s="161"/>
      <c r="Q19" s="161"/>
      <c r="R19" s="161"/>
      <c r="S19" s="161"/>
      <c r="AC19" s="117">
        <v>10</v>
      </c>
    </row>
    <row r="20" spans="1:29" s="2524"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81</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519" hidden="1"/>
    <col min="2" max="2" width="11" style="2519" hidden="1" customWidth="1"/>
    <col min="3" max="3" width="10.5703125" style="2519" hidden="1"/>
    <col min="4" max="4" width="11.85546875" style="2519" hidden="1" customWidth="1"/>
    <col min="5" max="5" width="10" style="2519" hidden="1" customWidth="1"/>
    <col min="6" max="6" width="8.7109375" style="2519" hidden="1" customWidth="1"/>
    <col min="7" max="7" width="7.5703125" style="2519" hidden="1" customWidth="1"/>
    <col min="8" max="8" width="11.42578125" style="2519" hidden="1" customWidth="1"/>
    <col min="9" max="9" width="14.140625" style="2519" hidden="1" customWidth="1"/>
    <col min="10" max="10" width="9.85546875" style="2519" hidden="1" customWidth="1"/>
    <col min="11" max="11" width="14.7109375" style="2519" hidden="1" customWidth="1"/>
    <col min="12" max="12" width="19.140625" style="2545" hidden="1" customWidth="1"/>
    <col min="13" max="14" width="12.28515625" style="2546" hidden="1" customWidth="1"/>
    <col min="15" max="15" width="23.42578125" style="2546" hidden="1" customWidth="1"/>
    <col min="16" max="16" width="3" style="2547" customWidth="1"/>
    <col min="17" max="18" width="3" style="2548" customWidth="1"/>
    <col min="19" max="19" width="12" style="2549" customWidth="1"/>
    <col min="20" max="20" width="35" style="2513" customWidth="1"/>
    <col min="21" max="21" width="0.140625" style="2513" customWidth="1"/>
    <col min="22" max="28" width="19.7109375" style="2513" hidden="1" customWidth="1"/>
    <col min="29" max="29" width="11.7109375" style="2513" hidden="1" customWidth="1"/>
    <col min="30" max="30" width="3.7109375" style="2513" hidden="1" customWidth="1"/>
    <col min="31" max="31" width="11.7109375" style="2513" hidden="1" customWidth="1"/>
    <col min="32" max="32" width="8.5703125" style="2513" hidden="1" customWidth="1"/>
    <col min="33" max="33" width="19.7109375" style="2513" customWidth="1"/>
    <col min="34" max="39" width="19" style="2513" customWidth="1"/>
    <col min="40" max="40" width="11" style="2513" customWidth="1"/>
    <col min="41" max="41" width="3.7109375" style="2513" customWidth="1"/>
    <col min="42" max="42" width="11" style="2513" customWidth="1"/>
    <col min="43" max="43" width="8.5703125" style="2513" hidden="1" customWidth="1"/>
    <col min="44" max="44" width="4" style="2513" customWidth="1"/>
    <col min="45" max="45" width="115" style="2513" customWidth="1"/>
    <col min="46" max="50" width="10" style="2520" customWidth="1"/>
    <col min="51" max="51" width="10.5703125" style="2513" hidden="1"/>
  </cols>
  <sheetData>
    <row r="1" spans="1:51" ht="22.5" hidden="1" customHeight="1">
      <c r="AC1" s="263"/>
      <c r="AN1" s="263"/>
      <c r="AY1" s="1073" t="s">
        <v>14</v>
      </c>
    </row>
    <row r="2" spans="1:51" ht="23.25" hidden="1" customHeight="1">
      <c r="A2" s="1281"/>
      <c r="B2" s="1281"/>
      <c r="C2" s="1281"/>
      <c r="D2" s="1281"/>
      <c r="E2" s="2778">
        <v>1</v>
      </c>
      <c r="F2" s="1281"/>
      <c r="G2" s="1281"/>
      <c r="H2" s="1281"/>
      <c r="I2" s="1281"/>
      <c r="J2" s="1281"/>
      <c r="K2" s="1281"/>
      <c r="L2" s="1282"/>
      <c r="M2" s="1283"/>
      <c r="N2" s="1283"/>
      <c r="O2" s="1283"/>
      <c r="P2" s="296"/>
      <c r="Q2" s="295"/>
      <c r="R2" s="290"/>
      <c r="S2" s="1411" t="e">
        <f>INDEX(PT_DIFFERENTIATION_NUM_NTAR,MATCH(A2,PT_DIFFERENTIATION_NTAR_ID,0))</f>
        <v>#N/A</v>
      </c>
      <c r="T2" s="234" t="s">
        <v>122</v>
      </c>
      <c r="U2" s="236"/>
      <c r="V2" s="2766"/>
      <c r="W2" s="2767"/>
      <c r="X2" s="2767"/>
      <c r="Y2" s="2767"/>
      <c r="Z2" s="2767"/>
      <c r="AA2" s="2767"/>
      <c r="AB2" s="2767"/>
      <c r="AC2" s="2767"/>
      <c r="AD2" s="2767"/>
      <c r="AE2" s="2767"/>
      <c r="AF2" s="2768"/>
      <c r="AG2" s="2766" t="e">
        <f>INDEX(PT_DIFFERENTIATION_NTAR,MATCH(A2,PT_DIFFERENTIATION_NTAR_ID,0))</f>
        <v>#N/A</v>
      </c>
      <c r="AH2" s="2767"/>
      <c r="AI2" s="2767"/>
      <c r="AJ2" s="2767"/>
      <c r="AK2" s="2767"/>
      <c r="AL2" s="2767"/>
      <c r="AM2" s="2767"/>
      <c r="AN2" s="2767"/>
      <c r="AO2" s="2767"/>
      <c r="AP2" s="2767"/>
      <c r="AQ2" s="2767"/>
      <c r="AR2" s="2768"/>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779"/>
      <c r="F3" s="2778">
        <v>1</v>
      </c>
      <c r="G3" s="1281"/>
      <c r="H3" s="1281"/>
      <c r="I3" s="1281"/>
      <c r="J3" s="1281"/>
      <c r="K3" s="1281"/>
      <c r="L3" s="1282"/>
      <c r="M3" s="1283"/>
      <c r="N3" s="1283"/>
      <c r="O3" s="1283"/>
      <c r="P3" s="1405"/>
      <c r="Q3" s="287"/>
      <c r="R3" s="288"/>
      <c r="S3" s="1411" t="e">
        <f>INDEX(PT_DIFFERENTIATION_NUM_TER,MATCH(B3,PT_DIFFERENTIATION_TER_ID,0))</f>
        <v>#N/A</v>
      </c>
      <c r="T3" s="244" t="s">
        <v>399</v>
      </c>
      <c r="U3" s="236"/>
      <c r="V3" s="2766"/>
      <c r="W3" s="2767"/>
      <c r="X3" s="2767"/>
      <c r="Y3" s="2767"/>
      <c r="Z3" s="2767"/>
      <c r="AA3" s="2767"/>
      <c r="AB3" s="2767"/>
      <c r="AC3" s="2767"/>
      <c r="AD3" s="2767"/>
      <c r="AE3" s="2767"/>
      <c r="AF3" s="2768"/>
      <c r="AG3" s="2766" t="e">
        <f>INDEX(PT_DIFFERENTIATION_TER,MATCH(B3,PT_DIFFERENTIATION_TER_ID,0))</f>
        <v>#N/A</v>
      </c>
      <c r="AH3" s="2767"/>
      <c r="AI3" s="2767"/>
      <c r="AJ3" s="2767"/>
      <c r="AK3" s="2767"/>
      <c r="AL3" s="2767"/>
      <c r="AM3" s="2767"/>
      <c r="AN3" s="2767"/>
      <c r="AO3" s="2767"/>
      <c r="AP3" s="2767"/>
      <c r="AQ3" s="2767"/>
      <c r="AR3" s="2768"/>
      <c r="AS3" s="1176" t="s">
        <v>400</v>
      </c>
      <c r="AU3" s="435"/>
      <c r="AV3" s="435" t="str">
        <f t="shared" si="0"/>
        <v>Территория действия тарифа</v>
      </c>
      <c r="AW3" s="435"/>
      <c r="AX3" s="435"/>
      <c r="AY3" s="1073">
        <v>0</v>
      </c>
    </row>
    <row r="4" spans="1:51" ht="23.25" hidden="1" customHeight="1">
      <c r="A4" s="1281"/>
      <c r="B4" s="1281"/>
      <c r="C4" s="1281"/>
      <c r="D4" s="1281"/>
      <c r="E4" s="2779"/>
      <c r="F4" s="2779"/>
      <c r="G4" s="2778">
        <v>1</v>
      </c>
      <c r="H4" s="1281"/>
      <c r="I4" s="1281"/>
      <c r="J4" s="1281"/>
      <c r="K4" s="1281"/>
      <c r="L4" s="1282"/>
      <c r="M4" s="1283"/>
      <c r="N4" s="1283"/>
      <c r="O4" s="1283"/>
      <c r="P4" s="289"/>
      <c r="Q4" s="287"/>
      <c r="R4" s="288"/>
      <c r="S4" s="1411" t="e">
        <f>INDEX(PT_DIFFERENTIATION_NUM_CS,MATCH(C4,PT_DIFFERENTIATION_CS_ID,0))</f>
        <v>#N/A</v>
      </c>
      <c r="T4" s="245" t="s">
        <v>532</v>
      </c>
      <c r="U4" s="236"/>
      <c r="V4" s="2766"/>
      <c r="W4" s="2767"/>
      <c r="X4" s="2767"/>
      <c r="Y4" s="2767"/>
      <c r="Z4" s="2767"/>
      <c r="AA4" s="2767"/>
      <c r="AB4" s="2767"/>
      <c r="AC4" s="2767"/>
      <c r="AD4" s="2767"/>
      <c r="AE4" s="2767"/>
      <c r="AF4" s="2768"/>
      <c r="AG4" s="2766" t="e">
        <f>INDEX(PT_DIFFERENTIATION_CS,MATCH(C4,PT_DIFFERENTIATION_CS_ID,0))</f>
        <v>#N/A</v>
      </c>
      <c r="AH4" s="2767"/>
      <c r="AI4" s="2767"/>
      <c r="AJ4" s="2767"/>
      <c r="AK4" s="2767"/>
      <c r="AL4" s="2767"/>
      <c r="AM4" s="2767"/>
      <c r="AN4" s="2767"/>
      <c r="AO4" s="2767"/>
      <c r="AP4" s="2767"/>
      <c r="AQ4" s="2767"/>
      <c r="AR4" s="2768"/>
      <c r="AS4" s="1176" t="s">
        <v>533</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779"/>
      <c r="F5" s="2779"/>
      <c r="G5" s="2779"/>
      <c r="H5" s="2779"/>
      <c r="I5" s="2776" t="e">
        <f>S4&amp;".1"</f>
        <v>#N/A</v>
      </c>
      <c r="J5" s="1281"/>
      <c r="K5" s="1281"/>
      <c r="L5" s="1282"/>
      <c r="P5" s="2777">
        <v>1</v>
      </c>
      <c r="Q5" s="1399"/>
      <c r="R5" s="291"/>
      <c r="S5" s="1411" t="e">
        <f>$I5</f>
        <v>#N/A</v>
      </c>
      <c r="T5" s="221" t="s">
        <v>485</v>
      </c>
      <c r="U5" s="236"/>
      <c r="V5" s="2833"/>
      <c r="W5" s="2834"/>
      <c r="X5" s="2834"/>
      <c r="Y5" s="2834"/>
      <c r="Z5" s="2834"/>
      <c r="AA5" s="2834"/>
      <c r="AB5" s="2834"/>
      <c r="AC5" s="2834"/>
      <c r="AD5" s="2834"/>
      <c r="AE5" s="2834"/>
      <c r="AF5" s="2835"/>
      <c r="AG5" s="2836"/>
      <c r="AH5" s="2837"/>
      <c r="AI5" s="2837"/>
      <c r="AJ5" s="2837"/>
      <c r="AK5" s="2837"/>
      <c r="AL5" s="2837"/>
      <c r="AM5" s="2837"/>
      <c r="AN5" s="2837"/>
      <c r="AO5" s="2837"/>
      <c r="AP5" s="2837"/>
      <c r="AQ5" s="2837"/>
      <c r="AR5" s="2838"/>
      <c r="AS5" s="1176" t="s">
        <v>486</v>
      </c>
      <c r="AU5" s="435"/>
      <c r="AV5" s="435" t="str">
        <f t="shared" si="0"/>
        <v>Наименование признака дифференциации</v>
      </c>
      <c r="AW5" s="435"/>
      <c r="AX5" s="435"/>
      <c r="AY5" s="1073">
        <v>0</v>
      </c>
    </row>
    <row r="6" spans="1:51" ht="23.25" hidden="1" customHeight="1">
      <c r="A6" s="1281"/>
      <c r="B6" s="1281"/>
      <c r="C6" s="1281"/>
      <c r="D6" s="1281"/>
      <c r="E6" s="2779"/>
      <c r="F6" s="2779"/>
      <c r="G6" s="2779"/>
      <c r="H6" s="2779"/>
      <c r="I6" s="2787"/>
      <c r="J6" s="2776" t="e">
        <f>I5&amp;".1"</f>
        <v>#N/A</v>
      </c>
      <c r="K6" s="1281"/>
      <c r="L6" s="1282" t="s">
        <v>408</v>
      </c>
      <c r="P6" s="2777"/>
      <c r="Q6" s="2777">
        <v>1</v>
      </c>
      <c r="R6" s="292"/>
      <c r="S6" s="1411" t="e">
        <f>$J6</f>
        <v>#N/A</v>
      </c>
      <c r="T6" s="222" t="s">
        <v>409</v>
      </c>
      <c r="U6" s="236"/>
      <c r="V6" s="2769"/>
      <c r="W6" s="2770"/>
      <c r="X6" s="2770"/>
      <c r="Y6" s="2770"/>
      <c r="Z6" s="2770"/>
      <c r="AA6" s="2770"/>
      <c r="AB6" s="2770"/>
      <c r="AC6" s="2770"/>
      <c r="AD6" s="2770"/>
      <c r="AE6" s="2770"/>
      <c r="AF6" s="2771"/>
      <c r="AG6" s="2769"/>
      <c r="AH6" s="2770"/>
      <c r="AI6" s="2770"/>
      <c r="AJ6" s="2770"/>
      <c r="AK6" s="2770"/>
      <c r="AL6" s="2770"/>
      <c r="AM6" s="2770"/>
      <c r="AN6" s="2770"/>
      <c r="AO6" s="2770"/>
      <c r="AP6" s="2770"/>
      <c r="AQ6" s="2770"/>
      <c r="AR6" s="2771"/>
      <c r="AS6" s="1225" t="s">
        <v>487</v>
      </c>
      <c r="AU6" s="435"/>
      <c r="AV6" s="435" t="str">
        <f t="shared" si="0"/>
        <v>Группа потребителей</v>
      </c>
      <c r="AW6" s="435"/>
      <c r="AX6" s="435"/>
      <c r="AY6" s="1073">
        <v>0</v>
      </c>
    </row>
    <row r="7" spans="1:51" ht="23.25" hidden="1" customHeight="1">
      <c r="A7" s="1281"/>
      <c r="B7" s="1281"/>
      <c r="C7" s="1281"/>
      <c r="D7" s="1281"/>
      <c r="E7" s="2779"/>
      <c r="F7" s="2779"/>
      <c r="G7" s="2779"/>
      <c r="H7" s="2779"/>
      <c r="I7" s="2787"/>
      <c r="J7" s="2787"/>
      <c r="K7" s="2776" t="e">
        <f>J6&amp;".1"</f>
        <v>#N/A</v>
      </c>
      <c r="L7" s="1282"/>
      <c r="P7" s="2777"/>
      <c r="Q7" s="2777"/>
      <c r="R7" s="292">
        <v>1</v>
      </c>
      <c r="S7" s="1411" t="e">
        <f>$K7</f>
        <v>#N/A</v>
      </c>
      <c r="T7" s="1355"/>
      <c r="U7" s="236"/>
      <c r="V7" s="686"/>
      <c r="W7" s="686"/>
      <c r="X7" s="686"/>
      <c r="Y7" s="686"/>
      <c r="Z7" s="686"/>
      <c r="AA7" s="686"/>
      <c r="AB7" s="686"/>
      <c r="AC7" s="2753"/>
      <c r="AD7" s="2619" t="s">
        <v>66</v>
      </c>
      <c r="AE7" s="2753"/>
      <c r="AF7" s="2619" t="s">
        <v>66</v>
      </c>
      <c r="AG7" s="686"/>
      <c r="AH7" s="686"/>
      <c r="AI7" s="686"/>
      <c r="AJ7" s="686"/>
      <c r="AK7" s="686"/>
      <c r="AL7" s="686"/>
      <c r="AM7" s="686"/>
      <c r="AN7" s="2753"/>
      <c r="AO7" s="2619" t="s">
        <v>66</v>
      </c>
      <c r="AP7" s="2788"/>
      <c r="AQ7" s="2619" t="s">
        <v>66</v>
      </c>
      <c r="AR7" s="1356"/>
      <c r="AS7" s="28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779"/>
      <c r="F8" s="2779"/>
      <c r="G8" s="2779"/>
      <c r="H8" s="2779"/>
      <c r="I8" s="2787"/>
      <c r="J8" s="2787"/>
      <c r="K8" s="2776"/>
      <c r="L8" s="1282"/>
      <c r="P8" s="2777"/>
      <c r="Q8" s="2777"/>
      <c r="R8" s="292"/>
      <c r="S8" s="1408"/>
      <c r="T8" s="236"/>
      <c r="U8" s="236"/>
      <c r="V8" s="261"/>
      <c r="W8" s="261"/>
      <c r="X8" s="261"/>
      <c r="Y8" s="261"/>
      <c r="Z8" s="261"/>
      <c r="AA8" s="261"/>
      <c r="AB8" s="261"/>
      <c r="AC8" s="2752"/>
      <c r="AD8" s="2619"/>
      <c r="AE8" s="2752"/>
      <c r="AF8" s="2619"/>
      <c r="AG8" s="261"/>
      <c r="AH8" s="261"/>
      <c r="AI8" s="261"/>
      <c r="AJ8" s="261"/>
      <c r="AK8" s="261"/>
      <c r="AL8" s="261"/>
      <c r="AM8" s="261"/>
      <c r="AN8" s="2752"/>
      <c r="AO8" s="2619"/>
      <c r="AP8" s="2789"/>
      <c r="AQ8" s="2619"/>
      <c r="AR8" s="1357"/>
      <c r="AS8" s="2832"/>
      <c r="AU8" s="435"/>
      <c r="AV8" s="435" t="str">
        <f t="shared" si="0"/>
        <v/>
      </c>
      <c r="AW8" s="435"/>
      <c r="AX8" s="435"/>
      <c r="AY8" s="1073">
        <v>0</v>
      </c>
    </row>
    <row r="9" spans="1:51" ht="21" hidden="1" customHeight="1">
      <c r="A9" s="1281"/>
      <c r="B9" s="1281"/>
      <c r="C9" s="1281"/>
      <c r="D9" s="1281"/>
      <c r="E9" s="2779"/>
      <c r="F9" s="2779"/>
      <c r="G9" s="2779"/>
      <c r="H9" s="2779"/>
      <c r="I9" s="2787"/>
      <c r="J9" s="2776"/>
      <c r="K9" s="1281"/>
      <c r="L9" s="1282"/>
      <c r="P9" s="2777"/>
      <c r="Q9" s="2777"/>
      <c r="R9" s="291"/>
      <c r="S9" s="1196"/>
      <c r="T9" s="223" t="s">
        <v>488</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489</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779"/>
      <c r="F10" s="2779"/>
      <c r="G10" s="2779"/>
      <c r="H10" s="2779"/>
      <c r="I10" s="2776"/>
      <c r="J10" s="1281"/>
      <c r="K10" s="1281"/>
      <c r="L10" s="1282"/>
      <c r="P10" s="2777"/>
      <c r="Q10" s="1399"/>
      <c r="R10" s="291"/>
      <c r="S10" s="1196"/>
      <c r="T10" s="300" t="s">
        <v>414</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779"/>
      <c r="F11" s="2779"/>
      <c r="G11" s="2779"/>
      <c r="H11" s="2778"/>
      <c r="I11" s="1281"/>
      <c r="J11" s="1281"/>
      <c r="K11" s="1281"/>
      <c r="L11" s="1282"/>
      <c r="M11" s="1283"/>
      <c r="N11" s="1283"/>
      <c r="O11" s="472"/>
      <c r="P11" s="295"/>
      <c r="Q11" s="310"/>
      <c r="R11" s="290"/>
      <c r="S11" s="1196"/>
      <c r="T11" s="307" t="s">
        <v>490</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520" customFormat="1" ht="14.25" hidden="1" customHeight="1">
      <c r="A12" s="1261"/>
      <c r="B12" s="1261"/>
      <c r="C12" s="1232"/>
      <c r="D12" s="1232"/>
      <c r="E12" s="2779"/>
      <c r="F12" s="2778"/>
      <c r="G12" s="1232"/>
      <c r="H12" s="1232"/>
      <c r="I12" s="1232"/>
      <c r="J12" s="1232"/>
      <c r="K12" s="1232"/>
      <c r="L12" s="1412"/>
      <c r="M12" s="1239"/>
      <c r="N12" s="1239"/>
      <c r="P12" s="1234"/>
      <c r="Q12" s="1235"/>
      <c r="R12" s="1234"/>
      <c r="S12" s="1240"/>
      <c r="T12" s="1243" t="s">
        <v>161</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520" customFormat="1" ht="14.25" hidden="1" customHeight="1">
      <c r="A13" s="1261"/>
      <c r="B13" s="1261"/>
      <c r="C13" s="1261"/>
      <c r="D13" s="1261"/>
      <c r="E13" s="2778"/>
      <c r="F13" s="1261"/>
      <c r="G13" s="1261"/>
      <c r="H13" s="1261"/>
      <c r="I13" s="1261"/>
      <c r="J13" s="1261"/>
      <c r="K13" s="1261"/>
      <c r="L13" s="1264"/>
      <c r="M13" s="1239"/>
      <c r="N13" s="1239"/>
      <c r="O13" s="453"/>
      <c r="P13" s="315"/>
      <c r="Q13" s="1262"/>
      <c r="R13" s="315"/>
      <c r="S13" s="1240"/>
      <c r="T13" s="1243" t="s">
        <v>162</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780"/>
      <c r="AO15" s="2781" t="s">
        <v>66</v>
      </c>
      <c r="AP15" s="2780"/>
      <c r="AQ15" s="2781" t="s">
        <v>66</v>
      </c>
      <c r="AY15" s="1073">
        <v>0</v>
      </c>
    </row>
    <row r="16" spans="1:51" ht="14.25" hidden="1" customHeight="1">
      <c r="AG16" s="1278"/>
      <c r="AH16" s="1278"/>
      <c r="AI16" s="1278"/>
      <c r="AJ16" s="1278"/>
      <c r="AK16" s="1278"/>
      <c r="AL16" s="1278"/>
      <c r="AM16" s="1278"/>
      <c r="AN16" s="2781"/>
      <c r="AO16" s="2781"/>
      <c r="AP16" s="2781"/>
      <c r="AQ16" s="2781"/>
      <c r="AY16" s="1073">
        <v>0</v>
      </c>
    </row>
    <row r="17" spans="1:51" ht="14.25" hidden="1" customHeight="1">
      <c r="AQ17" s="263"/>
      <c r="AY17" s="1073">
        <v>0</v>
      </c>
    </row>
    <row r="18" spans="1:51" s="2519" customFormat="1" ht="22.5" hidden="1" customHeight="1">
      <c r="L18" s="1396"/>
      <c r="M18" s="1280"/>
      <c r="N18" s="1280"/>
      <c r="O18" s="1285" t="s">
        <v>416</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519"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519" customFormat="1" ht="12" hidden="1" customHeight="1">
      <c r="L20" s="1396"/>
      <c r="M20" s="1280"/>
      <c r="N20" s="1280"/>
      <c r="O20" s="1282" t="s">
        <v>417</v>
      </c>
      <c r="P20" s="1280"/>
      <c r="Q20" s="1360"/>
      <c r="R20" s="1360"/>
      <c r="S20" s="664"/>
      <c r="T20" s="1078" t="s">
        <v>418</v>
      </c>
      <c r="W20" s="1284"/>
      <c r="X20" s="1284"/>
      <c r="Y20" s="1284"/>
      <c r="Z20" s="1284"/>
      <c r="AA20" s="1284"/>
      <c r="AB20" s="1284"/>
      <c r="AD20" s="122" t="s">
        <v>419</v>
      </c>
      <c r="AF20" s="122" t="s">
        <v>420</v>
      </c>
      <c r="AG20" s="1078" t="s">
        <v>418</v>
      </c>
      <c r="AH20" s="1284"/>
      <c r="AI20" s="1284"/>
      <c r="AJ20" s="1284"/>
      <c r="AK20" s="1284"/>
      <c r="AL20" s="1284"/>
      <c r="AO20" s="122" t="s">
        <v>421</v>
      </c>
      <c r="AQ20" s="122" t="s">
        <v>420</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74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49"/>
      <c r="U24" s="2749"/>
      <c r="V24" s="2749"/>
      <c r="W24" s="2749"/>
      <c r="X24" s="2749"/>
      <c r="Y24" s="2749"/>
      <c r="Z24" s="2749"/>
      <c r="AA24" s="2749"/>
      <c r="AB24" s="2749"/>
      <c r="AC24" s="2749"/>
      <c r="AD24" s="2749"/>
      <c r="AE24" s="2749"/>
      <c r="AF24" s="2749"/>
      <c r="AG24" s="2749"/>
      <c r="AH24" s="2749"/>
      <c r="AI24" s="2749"/>
      <c r="AJ24" s="2749"/>
      <c r="AK24" s="2749"/>
      <c r="AL24" s="2749"/>
      <c r="AM24" s="2749"/>
      <c r="AN24" s="2749"/>
      <c r="AO24" s="2749"/>
      <c r="AP24" s="2749"/>
      <c r="AQ24" s="1161"/>
      <c r="AY24" s="1073">
        <v>25</v>
      </c>
    </row>
    <row r="25" spans="1:51" ht="14.65" customHeight="1">
      <c r="Q25" s="311"/>
      <c r="R25" s="311"/>
      <c r="S25" s="2696" t="str">
        <f>IF(org=0,"Не определено",org)</f>
        <v>ООО "Ноябрьская ПГЭ"</v>
      </c>
      <c r="T25" s="2696"/>
      <c r="U25" s="2696"/>
      <c r="V25" s="2696"/>
      <c r="W25" s="2696"/>
      <c r="X25" s="2696"/>
      <c r="Y25" s="2696"/>
      <c r="Z25" s="2696"/>
      <c r="AA25" s="2696"/>
      <c r="AB25" s="2696"/>
      <c r="AC25" s="2696"/>
      <c r="AD25" s="2696"/>
      <c r="AE25" s="2696"/>
      <c r="AF25" s="2696"/>
      <c r="AG25" s="2696"/>
      <c r="AH25" s="2696"/>
      <c r="AI25" s="2696"/>
      <c r="AJ25" s="2696"/>
      <c r="AK25" s="2696"/>
      <c r="AL25" s="2696"/>
      <c r="AM25" s="2696"/>
      <c r="AN25" s="2696"/>
      <c r="AO25" s="2696"/>
      <c r="AP25" s="2696"/>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529" customFormat="1" ht="25.5" hidden="1" customHeight="1">
      <c r="A27" s="1286"/>
      <c r="B27" s="1286"/>
      <c r="C27" s="1286"/>
      <c r="D27" s="1286"/>
      <c r="E27" s="1286"/>
      <c r="F27" s="1286"/>
      <c r="G27" s="1286"/>
      <c r="H27" s="1286"/>
      <c r="I27" s="1286"/>
      <c r="J27" s="1286"/>
      <c r="K27" s="1286"/>
      <c r="L27" s="1287"/>
      <c r="M27" s="1286"/>
      <c r="N27" s="1286"/>
      <c r="O27" s="1286"/>
      <c r="S27" s="2772" t="s">
        <v>42</v>
      </c>
      <c r="T27" s="2772"/>
      <c r="U27" s="1290"/>
      <c r="V27" s="2754" t="str">
        <f>IF(TITLE_NAME_OR_PR_CHANGE="",IF(TITLE_NAME_OR_PR="","",TITLE_NAME_OR_PR),TITLE_NAME_OR_PR_CHANGE)</f>
        <v/>
      </c>
      <c r="W27" s="2754"/>
      <c r="X27" s="2754"/>
      <c r="Y27" s="2754"/>
      <c r="Z27" s="2754"/>
      <c r="AA27" s="2754"/>
      <c r="AB27" s="2754"/>
      <c r="AC27" s="2754"/>
      <c r="AD27" s="2754"/>
      <c r="AE27" s="2754"/>
      <c r="AF27" s="262"/>
      <c r="AG27" s="2754" t="str">
        <f>IF(TITLE_NAME_OR_PR_CHANGE="",IF(TITLE_NAME_OR_PR="","",TITLE_NAME_OR_PR),TITLE_NAME_OR_PR_CHANGE)</f>
        <v/>
      </c>
      <c r="AH27" s="2754"/>
      <c r="AI27" s="2754"/>
      <c r="AJ27" s="2754"/>
      <c r="AK27" s="2754"/>
      <c r="AL27" s="2754"/>
      <c r="AM27" s="2754"/>
      <c r="AN27" s="2754"/>
      <c r="AO27" s="2754"/>
      <c r="AP27" s="2754"/>
      <c r="AQ27" s="262"/>
      <c r="AR27" s="262"/>
      <c r="AS27" s="216"/>
      <c r="AT27" s="303"/>
      <c r="AU27" s="303"/>
      <c r="AV27" s="303"/>
      <c r="AW27" s="303"/>
      <c r="AX27" s="303"/>
      <c r="AY27" s="353">
        <v>0</v>
      </c>
    </row>
    <row r="28" spans="1:51" s="2529" customFormat="1" ht="18.75" hidden="1" customHeight="1">
      <c r="A28" s="1286"/>
      <c r="B28" s="1286"/>
      <c r="C28" s="1286"/>
      <c r="D28" s="1286"/>
      <c r="E28" s="1286"/>
      <c r="F28" s="1286"/>
      <c r="G28" s="1286"/>
      <c r="H28" s="1286"/>
      <c r="I28" s="1286"/>
      <c r="J28" s="1286"/>
      <c r="K28" s="1286"/>
      <c r="L28" s="1287"/>
      <c r="M28" s="1286"/>
      <c r="N28" s="1286"/>
      <c r="O28" s="1286"/>
      <c r="S28" s="2772" t="s">
        <v>422</v>
      </c>
      <c r="T28" s="2772"/>
      <c r="U28" s="1290"/>
      <c r="V28" s="2755">
        <f>IF(TITLE_DATE_PR_CHANGE="",IF(TITLE_DATE_PR="","",TITLE_DATE_PR),TITLE_DATE_PR_CHANGE)</f>
        <v>45583</v>
      </c>
      <c r="W28" s="2755"/>
      <c r="X28" s="2755"/>
      <c r="Y28" s="2755"/>
      <c r="Z28" s="2755"/>
      <c r="AA28" s="2755"/>
      <c r="AB28" s="2755"/>
      <c r="AC28" s="2755"/>
      <c r="AD28" s="2755"/>
      <c r="AE28" s="2755"/>
      <c r="AF28" s="262"/>
      <c r="AG28" s="2755">
        <f>IF(TITLE_DATE_PR_CHANGE="",IF(TITLE_DATE_PR="","",TITLE_DATE_PR),TITLE_DATE_PR_CHANGE)</f>
        <v>45583</v>
      </c>
      <c r="AH28" s="2755"/>
      <c r="AI28" s="2755"/>
      <c r="AJ28" s="2755"/>
      <c r="AK28" s="2755"/>
      <c r="AL28" s="2755"/>
      <c r="AM28" s="2755"/>
      <c r="AN28" s="2755"/>
      <c r="AO28" s="2755"/>
      <c r="AP28" s="2755"/>
      <c r="AQ28" s="262"/>
      <c r="AR28" s="262"/>
      <c r="AS28" s="216"/>
      <c r="AT28" s="303"/>
      <c r="AU28" s="303"/>
      <c r="AV28" s="303"/>
      <c r="AW28" s="303"/>
      <c r="AX28" s="303"/>
      <c r="AY28" s="353">
        <v>0</v>
      </c>
    </row>
    <row r="29" spans="1:51" s="2529" customFormat="1" ht="18.75" hidden="1" customHeight="1">
      <c r="A29" s="1286"/>
      <c r="B29" s="1286"/>
      <c r="C29" s="1286"/>
      <c r="D29" s="1286"/>
      <c r="E29" s="1286"/>
      <c r="F29" s="1286"/>
      <c r="G29" s="1286"/>
      <c r="H29" s="1286"/>
      <c r="I29" s="1286"/>
      <c r="J29" s="1286"/>
      <c r="K29" s="1286"/>
      <c r="L29" s="1287"/>
      <c r="M29" s="1286"/>
      <c r="N29" s="1286"/>
      <c r="O29" s="1286"/>
      <c r="S29" s="2772" t="s">
        <v>423</v>
      </c>
      <c r="T29" s="2772"/>
      <c r="U29" s="1290"/>
      <c r="V29" s="2754" t="str">
        <f>IF(TITLE_NUMBER_PR_CHANGE="",IF(TITLE_NUMBER_PR="","",TITLE_NUMBER_PR),TITLE_NUMBER_PR_CHANGE)</f>
        <v>18-3341</v>
      </c>
      <c r="W29" s="2754"/>
      <c r="X29" s="2754"/>
      <c r="Y29" s="2754"/>
      <c r="Z29" s="2754"/>
      <c r="AA29" s="2754"/>
      <c r="AB29" s="2754"/>
      <c r="AC29" s="2754"/>
      <c r="AD29" s="2754"/>
      <c r="AE29" s="2754"/>
      <c r="AF29" s="262"/>
      <c r="AG29" s="2754" t="str">
        <f>IF(TITLE_NUMBER_PR_CHANGE="",IF(TITLE_NUMBER_PR="","",TITLE_NUMBER_PR),TITLE_NUMBER_PR_CHANGE)</f>
        <v>18-3341</v>
      </c>
      <c r="AH29" s="2754"/>
      <c r="AI29" s="2754"/>
      <c r="AJ29" s="2754"/>
      <c r="AK29" s="2754"/>
      <c r="AL29" s="2754"/>
      <c r="AM29" s="2754"/>
      <c r="AN29" s="2754"/>
      <c r="AO29" s="2754"/>
      <c r="AP29" s="2754"/>
      <c r="AQ29" s="262"/>
      <c r="AR29" s="262"/>
      <c r="AS29" s="216"/>
      <c r="AT29" s="303"/>
      <c r="AU29" s="303"/>
      <c r="AV29" s="303"/>
      <c r="AW29" s="303"/>
      <c r="AX29" s="303"/>
      <c r="AY29" s="353">
        <v>0</v>
      </c>
    </row>
    <row r="30" spans="1:51" s="2529" customFormat="1" ht="18.75" hidden="1" customHeight="1">
      <c r="A30" s="1286"/>
      <c r="B30" s="1286"/>
      <c r="C30" s="1286"/>
      <c r="D30" s="1286"/>
      <c r="E30" s="1286"/>
      <c r="F30" s="1286"/>
      <c r="G30" s="1286"/>
      <c r="H30" s="1286"/>
      <c r="I30" s="1286"/>
      <c r="J30" s="1286"/>
      <c r="K30" s="1286"/>
      <c r="L30" s="1287"/>
      <c r="M30" s="1286"/>
      <c r="N30" s="1286"/>
      <c r="O30" s="1286"/>
      <c r="S30" s="2772" t="s">
        <v>43</v>
      </c>
      <c r="T30" s="2772"/>
      <c r="U30" s="1290"/>
      <c r="V30" s="2754" t="str">
        <f>IF(TITLE_IST_PUB_CHANGE="",IF(TITLE_IST_PUB="","",TITLE_IST_PUB),TITLE_IST_PUB_CHANGE)</f>
        <v/>
      </c>
      <c r="W30" s="2754"/>
      <c r="X30" s="2754"/>
      <c r="Y30" s="2754"/>
      <c r="Z30" s="2754"/>
      <c r="AA30" s="2754"/>
      <c r="AB30" s="2754"/>
      <c r="AC30" s="2754"/>
      <c r="AD30" s="2754"/>
      <c r="AE30" s="2754"/>
      <c r="AF30" s="262"/>
      <c r="AG30" s="2754" t="str">
        <f>IF(TITLE_IST_PUB_CHANGE="",IF(TITLE_IST_PUB="","",TITLE_IST_PUB),TITLE_IST_PUB_CHANGE)</f>
        <v/>
      </c>
      <c r="AH30" s="2754"/>
      <c r="AI30" s="2754"/>
      <c r="AJ30" s="2754"/>
      <c r="AK30" s="2754"/>
      <c r="AL30" s="2754"/>
      <c r="AM30" s="2754"/>
      <c r="AN30" s="2754"/>
      <c r="AO30" s="2754"/>
      <c r="AP30" s="2754"/>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529" customFormat="1" ht="18.75" customHeight="1">
      <c r="A32" s="1286"/>
      <c r="B32" s="1286"/>
      <c r="C32" s="1286"/>
      <c r="D32" s="1286"/>
      <c r="E32" s="1286"/>
      <c r="F32" s="1286"/>
      <c r="G32" s="1286"/>
      <c r="H32" s="1286"/>
      <c r="I32" s="1286"/>
      <c r="J32" s="1286"/>
      <c r="K32" s="1286"/>
      <c r="L32" s="1287"/>
      <c r="M32" s="1286"/>
      <c r="N32" s="1286"/>
      <c r="O32" s="1286"/>
      <c r="S32" s="2772" t="s">
        <v>424</v>
      </c>
      <c r="T32" s="2772"/>
      <c r="U32" s="1290"/>
      <c r="V32" s="2755">
        <f>IF(TITLE_DATE_PR_CHANGE="",IF(TITLE_DATE_PR="","",TITLE_DATE_PR),TITLE_DATE_PR_CHANGE)</f>
        <v>45583</v>
      </c>
      <c r="W32" s="2755"/>
      <c r="X32" s="2755"/>
      <c r="Y32" s="2755"/>
      <c r="Z32" s="2755"/>
      <c r="AA32" s="2755"/>
      <c r="AB32" s="2755"/>
      <c r="AC32" s="2755"/>
      <c r="AD32" s="2755"/>
      <c r="AE32" s="2755"/>
      <c r="AF32" s="262"/>
      <c r="AG32" s="2755">
        <f>IF(TITLE_DATE_PR_CHANGE="",IF(TITLE_DATE_PR="","",TITLE_DATE_PR),TITLE_DATE_PR_CHANGE)</f>
        <v>45583</v>
      </c>
      <c r="AH32" s="2755"/>
      <c r="AI32" s="2755"/>
      <c r="AJ32" s="2755"/>
      <c r="AK32" s="2755"/>
      <c r="AL32" s="2755"/>
      <c r="AM32" s="2755"/>
      <c r="AN32" s="2755"/>
      <c r="AO32" s="2755"/>
      <c r="AP32" s="2755"/>
      <c r="AQ32" s="262"/>
      <c r="AR32" s="262"/>
      <c r="AS32" s="216"/>
      <c r="AT32" s="303"/>
      <c r="AU32" s="303"/>
      <c r="AV32" s="303"/>
      <c r="AW32" s="303"/>
      <c r="AX32" s="303"/>
      <c r="AY32" s="353">
        <v>0</v>
      </c>
    </row>
    <row r="33" spans="1:51" s="2529" customFormat="1" ht="18.75" customHeight="1">
      <c r="A33" s="1286"/>
      <c r="B33" s="1286"/>
      <c r="C33" s="1286"/>
      <c r="D33" s="1286"/>
      <c r="E33" s="1286"/>
      <c r="F33" s="1286"/>
      <c r="G33" s="1286"/>
      <c r="H33" s="1286"/>
      <c r="I33" s="1286"/>
      <c r="J33" s="1286"/>
      <c r="K33" s="1286"/>
      <c r="L33" s="1287"/>
      <c r="M33" s="1286"/>
      <c r="N33" s="1286"/>
      <c r="O33" s="1286"/>
      <c r="S33" s="2772" t="s">
        <v>425</v>
      </c>
      <c r="T33" s="2772"/>
      <c r="U33" s="1290"/>
      <c r="V33" s="2754" t="str">
        <f>IF(TITLE_NUMBER_PR_CHANGE="",IF(TITLE_NUMBER_PR="","",TITLE_NUMBER_PR),TITLE_NUMBER_PR_CHANGE)</f>
        <v>18-3341</v>
      </c>
      <c r="W33" s="2754"/>
      <c r="X33" s="2754"/>
      <c r="Y33" s="2754"/>
      <c r="Z33" s="2754"/>
      <c r="AA33" s="2754"/>
      <c r="AB33" s="2754"/>
      <c r="AC33" s="2754"/>
      <c r="AD33" s="2754"/>
      <c r="AE33" s="2754"/>
      <c r="AF33" s="262"/>
      <c r="AG33" s="2754" t="str">
        <f>IF(TITLE_NUMBER_PR_CHANGE="",IF(TITLE_NUMBER_PR="","",TITLE_NUMBER_PR),TITLE_NUMBER_PR_CHANGE)</f>
        <v>18-3341</v>
      </c>
      <c r="AH33" s="2754"/>
      <c r="AI33" s="2754"/>
      <c r="AJ33" s="2754"/>
      <c r="AK33" s="2754"/>
      <c r="AL33" s="2754"/>
      <c r="AM33" s="2754"/>
      <c r="AN33" s="2754"/>
      <c r="AO33" s="2754"/>
      <c r="AP33" s="2754"/>
      <c r="AQ33" s="262"/>
      <c r="AR33" s="262"/>
      <c r="AS33" s="216"/>
      <c r="AT33" s="303"/>
      <c r="AU33" s="303"/>
      <c r="AV33" s="303"/>
      <c r="AW33" s="303"/>
      <c r="AX33" s="303"/>
      <c r="AY33" s="353">
        <v>0</v>
      </c>
    </row>
    <row r="34" spans="1:51" s="2529"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426</v>
      </c>
      <c r="AG34" s="262"/>
      <c r="AH34" s="1553"/>
      <c r="AI34" s="1553"/>
      <c r="AJ34" s="1553"/>
      <c r="AK34" s="1553"/>
      <c r="AL34" s="1553"/>
      <c r="AM34" s="262"/>
      <c r="AN34" s="262"/>
      <c r="AO34" s="262"/>
      <c r="AP34" s="262"/>
      <c r="AQ34" s="214" t="s">
        <v>426</v>
      </c>
      <c r="AT34" s="303"/>
      <c r="AU34" s="303"/>
      <c r="AV34" s="303"/>
      <c r="AW34" s="303"/>
      <c r="AX34" s="303"/>
      <c r="AY34" s="353">
        <v>1</v>
      </c>
    </row>
    <row r="35" spans="1:51" ht="14.65" customHeight="1">
      <c r="Q35" s="311"/>
      <c r="R35" s="311"/>
      <c r="S35" s="1193"/>
      <c r="T35" s="298"/>
      <c r="U35" s="1162"/>
      <c r="V35" s="2756"/>
      <c r="W35" s="2756"/>
      <c r="X35" s="2756"/>
      <c r="Y35" s="2756"/>
      <c r="Z35" s="2756"/>
      <c r="AA35" s="2756"/>
      <c r="AB35" s="2756"/>
      <c r="AC35" s="2756"/>
      <c r="AD35" s="2756"/>
      <c r="AE35" s="2756"/>
      <c r="AF35" s="2756"/>
      <c r="AG35" s="2756"/>
      <c r="AH35" s="2756"/>
      <c r="AI35" s="2756"/>
      <c r="AJ35" s="2756"/>
      <c r="AK35" s="2756"/>
      <c r="AL35" s="2756"/>
      <c r="AM35" s="2756"/>
      <c r="AN35" s="2756"/>
      <c r="AO35" s="2756"/>
      <c r="AP35" s="2756"/>
      <c r="AQ35" s="2756"/>
      <c r="AY35" s="1073">
        <v>14</v>
      </c>
    </row>
    <row r="36" spans="1:51" ht="14.65" customHeight="1">
      <c r="Q36" s="311"/>
      <c r="R36" s="311"/>
      <c r="S36" s="2638" t="s">
        <v>302</v>
      </c>
      <c r="T36" s="2638"/>
      <c r="U36" s="2638"/>
      <c r="V36" s="2638"/>
      <c r="W36" s="2638"/>
      <c r="X36" s="2638"/>
      <c r="Y36" s="2638"/>
      <c r="Z36" s="2638"/>
      <c r="AA36" s="2638"/>
      <c r="AB36" s="2638"/>
      <c r="AC36" s="2638"/>
      <c r="AD36" s="2638"/>
      <c r="AE36" s="2638"/>
      <c r="AF36" s="2638"/>
      <c r="AG36" s="2638"/>
      <c r="AH36" s="2638"/>
      <c r="AI36" s="2638"/>
      <c r="AJ36" s="2638"/>
      <c r="AK36" s="2638"/>
      <c r="AL36" s="2638"/>
      <c r="AM36" s="2638"/>
      <c r="AN36" s="2638"/>
      <c r="AO36" s="2638"/>
      <c r="AP36" s="2638"/>
      <c r="AQ36" s="2638"/>
      <c r="AR36" s="2638"/>
      <c r="AS36" s="2638" t="s">
        <v>303</v>
      </c>
      <c r="AY36" s="1073">
        <v>14</v>
      </c>
    </row>
    <row r="37" spans="1:51" ht="14.65" customHeight="1">
      <c r="Q37" s="311"/>
      <c r="R37" s="311"/>
      <c r="S37" s="2782" t="s">
        <v>87</v>
      </c>
      <c r="T37" s="2724" t="s">
        <v>428</v>
      </c>
      <c r="U37" s="237"/>
      <c r="V37" s="2757" t="s">
        <v>429</v>
      </c>
      <c r="W37" s="2792"/>
      <c r="X37" s="2792"/>
      <c r="Y37" s="2792"/>
      <c r="Z37" s="2792"/>
      <c r="AA37" s="2792"/>
      <c r="AB37" s="2792"/>
      <c r="AC37" s="2758"/>
      <c r="AD37" s="2758"/>
      <c r="AE37" s="2759"/>
      <c r="AF37" s="2760" t="s">
        <v>430</v>
      </c>
      <c r="AG37" s="2757" t="s">
        <v>429</v>
      </c>
      <c r="AH37" s="2758"/>
      <c r="AI37" s="2758"/>
      <c r="AJ37" s="2758"/>
      <c r="AK37" s="2758"/>
      <c r="AL37" s="2758"/>
      <c r="AM37" s="2758"/>
      <c r="AN37" s="2758"/>
      <c r="AO37" s="2758"/>
      <c r="AP37" s="2759"/>
      <c r="AQ37" s="2760" t="s">
        <v>431</v>
      </c>
      <c r="AR37" s="2783" t="s">
        <v>432</v>
      </c>
      <c r="AS37" s="2638"/>
      <c r="AY37" s="1073">
        <v>14</v>
      </c>
    </row>
    <row r="38" spans="1:51" ht="19.899999999999999" customHeight="1">
      <c r="Q38" s="311"/>
      <c r="R38" s="311"/>
      <c r="S38" s="2782"/>
      <c r="T38" s="2724"/>
      <c r="U38" s="953"/>
      <c r="V38" s="2638" t="s">
        <v>534</v>
      </c>
      <c r="W38" s="2848" t="s">
        <v>535</v>
      </c>
      <c r="X38" s="2848"/>
      <c r="Y38" s="2848"/>
      <c r="Z38" s="2848" t="s">
        <v>536</v>
      </c>
      <c r="AA38" s="2848"/>
      <c r="AB38" s="2848"/>
      <c r="AC38" s="2710" t="s">
        <v>436</v>
      </c>
      <c r="AD38" s="2806"/>
      <c r="AE38" s="2711"/>
      <c r="AF38" s="2761"/>
      <c r="AG38" s="2638" t="s">
        <v>534</v>
      </c>
      <c r="AH38" s="2848" t="s">
        <v>535</v>
      </c>
      <c r="AI38" s="2848"/>
      <c r="AJ38" s="2848"/>
      <c r="AK38" s="2848" t="s">
        <v>536</v>
      </c>
      <c r="AL38" s="2848"/>
      <c r="AM38" s="2848"/>
      <c r="AN38" s="2710" t="s">
        <v>436</v>
      </c>
      <c r="AO38" s="2806"/>
      <c r="AP38" s="2711"/>
      <c r="AQ38" s="2761"/>
      <c r="AR38" s="2784"/>
      <c r="AS38" s="2638"/>
      <c r="AY38" s="1073">
        <v>19</v>
      </c>
    </row>
    <row r="39" spans="1:51" s="2513" customFormat="1" ht="19.899999999999999" customHeight="1">
      <c r="A39" s="1284"/>
      <c r="B39" s="1284"/>
      <c r="C39" s="1284"/>
      <c r="D39" s="1284"/>
      <c r="E39" s="1284"/>
      <c r="F39" s="1284"/>
      <c r="G39" s="1284"/>
      <c r="H39" s="1284"/>
      <c r="I39" s="1284"/>
      <c r="J39" s="1284"/>
      <c r="K39" s="1284"/>
      <c r="L39" s="1863"/>
      <c r="M39" s="1280"/>
      <c r="N39" s="1280"/>
      <c r="O39" s="1280"/>
      <c r="P39" s="1877"/>
      <c r="Q39" s="311"/>
      <c r="R39" s="311"/>
      <c r="S39" s="2782"/>
      <c r="T39" s="2724"/>
      <c r="U39" s="953"/>
      <c r="V39" s="2638"/>
      <c r="W39" s="2848" t="s">
        <v>537</v>
      </c>
      <c r="X39" s="2848" t="s">
        <v>538</v>
      </c>
      <c r="Y39" s="2848"/>
      <c r="Z39" s="2848" t="s">
        <v>539</v>
      </c>
      <c r="AA39" s="2848" t="s">
        <v>538</v>
      </c>
      <c r="AB39" s="2848"/>
      <c r="AC39" s="2715"/>
      <c r="AD39" s="2807"/>
      <c r="AE39" s="2716"/>
      <c r="AF39" s="2761"/>
      <c r="AG39" s="2638"/>
      <c r="AH39" s="2848" t="s">
        <v>537</v>
      </c>
      <c r="AI39" s="2848" t="s">
        <v>538</v>
      </c>
      <c r="AJ39" s="2848"/>
      <c r="AK39" s="2848" t="s">
        <v>539</v>
      </c>
      <c r="AL39" s="2848" t="s">
        <v>538</v>
      </c>
      <c r="AM39" s="2848"/>
      <c r="AN39" s="2715"/>
      <c r="AO39" s="2807"/>
      <c r="AP39" s="2716"/>
      <c r="AQ39" s="2761"/>
      <c r="AR39" s="2784"/>
      <c r="AS39" s="2638"/>
      <c r="AT39" s="1554"/>
      <c r="AU39" s="1554"/>
      <c r="AV39" s="1554"/>
      <c r="AW39" s="1554"/>
      <c r="AX39" s="1554"/>
      <c r="AY39" s="1549">
        <v>19</v>
      </c>
    </row>
    <row r="40" spans="1:51" ht="61.9" customHeight="1">
      <c r="A40" s="1288"/>
      <c r="B40" s="1288" t="s">
        <v>134</v>
      </c>
      <c r="C40" s="1288" t="s">
        <v>135</v>
      </c>
      <c r="D40" s="1288" t="s">
        <v>136</v>
      </c>
      <c r="E40" s="1282" t="s">
        <v>437</v>
      </c>
      <c r="F40" s="1282" t="s">
        <v>438</v>
      </c>
      <c r="G40" s="1282" t="s">
        <v>439</v>
      </c>
      <c r="H40" s="1282"/>
      <c r="I40" s="1282" t="s">
        <v>492</v>
      </c>
      <c r="J40" s="1282" t="s">
        <v>442</v>
      </c>
      <c r="K40" s="1282" t="s">
        <v>493</v>
      </c>
      <c r="L40" s="1282" t="s">
        <v>417</v>
      </c>
      <c r="Q40" s="311"/>
      <c r="R40" s="311"/>
      <c r="S40" s="2782"/>
      <c r="T40" s="2724"/>
      <c r="U40" s="238"/>
      <c r="V40" s="2638"/>
      <c r="W40" s="2848"/>
      <c r="X40" s="1895" t="s">
        <v>540</v>
      </c>
      <c r="Y40" s="1895" t="s">
        <v>541</v>
      </c>
      <c r="Z40" s="2848"/>
      <c r="AA40" s="1895" t="s">
        <v>542</v>
      </c>
      <c r="AB40" s="1895" t="s">
        <v>543</v>
      </c>
      <c r="AC40" s="1407" t="s">
        <v>446</v>
      </c>
      <c r="AD40" s="2733" t="s">
        <v>447</v>
      </c>
      <c r="AE40" s="2735"/>
      <c r="AF40" s="2762"/>
      <c r="AG40" s="2638"/>
      <c r="AH40" s="2848"/>
      <c r="AI40" s="1895" t="s">
        <v>540</v>
      </c>
      <c r="AJ40" s="1895" t="s">
        <v>541</v>
      </c>
      <c r="AK40" s="2848"/>
      <c r="AL40" s="1895" t="s">
        <v>542</v>
      </c>
      <c r="AM40" s="1895" t="s">
        <v>543</v>
      </c>
      <c r="AN40" s="1407" t="s">
        <v>446</v>
      </c>
      <c r="AO40" s="2733" t="s">
        <v>447</v>
      </c>
      <c r="AP40" s="2735"/>
      <c r="AQ40" s="2762"/>
      <c r="AR40" s="2785"/>
      <c r="AS40" s="2638"/>
      <c r="AY40" s="1073">
        <v>59</v>
      </c>
    </row>
    <row r="41" spans="1:51" s="2544"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108</v>
      </c>
      <c r="T41" s="1173" t="s">
        <v>109</v>
      </c>
      <c r="U41" s="1163" t="str">
        <f ca="1">OFFSET(U41,0,-1)</f>
        <v>2</v>
      </c>
      <c r="V41" s="1400">
        <f ca="1">OFFSET(V41,0,-1)+1</f>
        <v>3</v>
      </c>
      <c r="W41" s="1259"/>
      <c r="X41" s="1259"/>
      <c r="Y41" s="1259"/>
      <c r="Z41" s="1259"/>
      <c r="AA41" s="1259"/>
      <c r="AB41" s="1259"/>
      <c r="AC41" s="1400">
        <f ca="1">OFFSET(AC41,0,-1)+1</f>
        <v>1</v>
      </c>
      <c r="AD41" s="2765">
        <f ca="1">OFFSET(AD41,0,-1)+1</f>
        <v>2</v>
      </c>
      <c r="AE41" s="2765"/>
      <c r="AF41" s="1400">
        <f ca="1">OFFSET(AF41,0,-2)+1</f>
        <v>3</v>
      </c>
      <c r="AG41" s="1400">
        <f ca="1">OFFSET(AG41,0,-1)+1</f>
        <v>4</v>
      </c>
      <c r="AH41" s="1868"/>
      <c r="AI41" s="1868"/>
      <c r="AJ41" s="1868"/>
      <c r="AK41" s="1868"/>
      <c r="AL41" s="1868"/>
      <c r="AM41" s="1400">
        <f ca="1">OFFSET(AM41,0,-1)+1</f>
        <v>1</v>
      </c>
      <c r="AN41" s="1400">
        <f ca="1">OFFSET(AN41,0,-1)+1</f>
        <v>2</v>
      </c>
      <c r="AO41" s="2765">
        <f ca="1">OFFSET(AO41,0,-1)+1</f>
        <v>3</v>
      </c>
      <c r="AP41" s="2765"/>
      <c r="AQ41" s="1400">
        <f ca="1">OFFSET(AQ41,0,-2)+1</f>
        <v>4</v>
      </c>
      <c r="AR41" s="1163">
        <f ca="1">OFFSET(AR41,0,-1)</f>
        <v>4</v>
      </c>
      <c r="AS41" s="1400">
        <f ca="1">OFFSET(AS41,0,-1)+1</f>
        <v>5</v>
      </c>
      <c r="AT41" s="446"/>
      <c r="AU41" s="446"/>
      <c r="AV41" s="446"/>
      <c r="AW41" s="446"/>
      <c r="AX41" s="446"/>
      <c r="AY41" s="431">
        <v>0</v>
      </c>
    </row>
    <row r="42" spans="1:51" ht="24" customHeight="1">
      <c r="A42" s="1281" t="s">
        <v>253</v>
      </c>
      <c r="B42" s="1281"/>
      <c r="C42" s="1281"/>
      <c r="D42" s="1281"/>
      <c r="E42" s="2778">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122</v>
      </c>
      <c r="U42" s="236"/>
      <c r="V42" s="2766"/>
      <c r="W42" s="2767"/>
      <c r="X42" s="2767"/>
      <c r="Y42" s="2767"/>
      <c r="Z42" s="2767"/>
      <c r="AA42" s="2767"/>
      <c r="AB42" s="2767"/>
      <c r="AC42" s="2767"/>
      <c r="AD42" s="2767"/>
      <c r="AE42" s="2767"/>
      <c r="AF42" s="2768"/>
      <c r="AG42" s="2766" t="str">
        <f>INDEX(PT_DIFFERENTIATION_NTAR,MATCH(A42,PT_DIFFERENTIATION_NTAR_ID,0))</f>
        <v/>
      </c>
      <c r="AH42" s="2767"/>
      <c r="AI42" s="2767"/>
      <c r="AJ42" s="2767"/>
      <c r="AK42" s="2767"/>
      <c r="AL42" s="2767"/>
      <c r="AM42" s="2767"/>
      <c r="AN42" s="2767"/>
      <c r="AO42" s="2767"/>
      <c r="AP42" s="2767"/>
      <c r="AQ42" s="2767"/>
      <c r="AR42" s="2768"/>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253</v>
      </c>
      <c r="B43" s="1281" t="s">
        <v>254</v>
      </c>
      <c r="C43" s="1281"/>
      <c r="D43" s="1281"/>
      <c r="E43" s="2779"/>
      <c r="F43" s="2778">
        <v>1</v>
      </c>
      <c r="G43" s="1281"/>
      <c r="H43" s="1281"/>
      <c r="I43" s="1281"/>
      <c r="J43" s="1281"/>
      <c r="K43" s="1281"/>
      <c r="L43" s="1282"/>
      <c r="M43" s="1283"/>
      <c r="N43" s="1283"/>
      <c r="O43" s="1283"/>
      <c r="P43" s="1405"/>
      <c r="Q43" s="287"/>
      <c r="R43" s="288"/>
      <c r="S43" s="1411" t="str">
        <f>INDEX(PT_DIFFERENTIATION_NUM_TER,MATCH(B43,PT_DIFFERENTIATION_TER_ID,0))</f>
        <v>.</v>
      </c>
      <c r="T43" s="244" t="s">
        <v>399</v>
      </c>
      <c r="U43" s="236"/>
      <c r="V43" s="2766"/>
      <c r="W43" s="2767"/>
      <c r="X43" s="2767"/>
      <c r="Y43" s="2767"/>
      <c r="Z43" s="2767"/>
      <c r="AA43" s="2767"/>
      <c r="AB43" s="2767"/>
      <c r="AC43" s="2767"/>
      <c r="AD43" s="2767"/>
      <c r="AE43" s="2767"/>
      <c r="AF43" s="2768"/>
      <c r="AG43" s="2766" t="str">
        <f>INDEX(PT_DIFFERENTIATION_TER,MATCH(B43,PT_DIFFERENTIATION_TER_ID,0))</f>
        <v/>
      </c>
      <c r="AH43" s="2767"/>
      <c r="AI43" s="2767"/>
      <c r="AJ43" s="2767"/>
      <c r="AK43" s="2767"/>
      <c r="AL43" s="2767"/>
      <c r="AM43" s="2767"/>
      <c r="AN43" s="2767"/>
      <c r="AO43" s="2767"/>
      <c r="AP43" s="2767"/>
      <c r="AQ43" s="2767"/>
      <c r="AR43" s="2768"/>
      <c r="AS43" s="1176" t="s">
        <v>400</v>
      </c>
      <c r="AU43" s="435"/>
      <c r="AV43" s="435" t="str">
        <f t="shared" si="1"/>
        <v>Территория действия тарифа</v>
      </c>
      <c r="AW43" s="435"/>
      <c r="AX43" s="435"/>
      <c r="AY43" s="1073">
        <v>23</v>
      </c>
    </row>
    <row r="44" spans="1:51" ht="24" customHeight="1">
      <c r="A44" s="1281" t="s">
        <v>253</v>
      </c>
      <c r="B44" s="1281" t="s">
        <v>254</v>
      </c>
      <c r="C44" s="1281" t="s">
        <v>255</v>
      </c>
      <c r="D44" s="1281"/>
      <c r="E44" s="2779"/>
      <c r="F44" s="2779"/>
      <c r="G44" s="2778">
        <v>1</v>
      </c>
      <c r="H44" s="1281"/>
      <c r="I44" s="1281"/>
      <c r="J44" s="1281"/>
      <c r="K44" s="1281"/>
      <c r="L44" s="1282"/>
      <c r="M44" s="1283"/>
      <c r="N44" s="1283"/>
      <c r="O44" s="1283"/>
      <c r="P44" s="289"/>
      <c r="Q44" s="287"/>
      <c r="R44" s="288"/>
      <c r="S44" s="1411" t="str">
        <f>INDEX(PT_DIFFERENTIATION_NUM_CS,MATCH(C44,PT_DIFFERENTIATION_CS_ID,0))</f>
        <v>..</v>
      </c>
      <c r="T44" s="245" t="s">
        <v>532</v>
      </c>
      <c r="U44" s="236"/>
      <c r="V44" s="2766"/>
      <c r="W44" s="2767"/>
      <c r="X44" s="2767"/>
      <c r="Y44" s="2767"/>
      <c r="Z44" s="2767"/>
      <c r="AA44" s="2767"/>
      <c r="AB44" s="2767"/>
      <c r="AC44" s="2767"/>
      <c r="AD44" s="2767"/>
      <c r="AE44" s="2767"/>
      <c r="AF44" s="2768"/>
      <c r="AG44" s="2766" t="str">
        <f>INDEX(PT_DIFFERENTIATION_CS,MATCH(C44,PT_DIFFERENTIATION_CS_ID,0))</f>
        <v/>
      </c>
      <c r="AH44" s="2767"/>
      <c r="AI44" s="2767"/>
      <c r="AJ44" s="2767"/>
      <c r="AK44" s="2767"/>
      <c r="AL44" s="2767"/>
      <c r="AM44" s="2767"/>
      <c r="AN44" s="2767"/>
      <c r="AO44" s="2767"/>
      <c r="AP44" s="2767"/>
      <c r="AQ44" s="2767"/>
      <c r="AR44" s="2768"/>
      <c r="AS44" s="1176" t="s">
        <v>533</v>
      </c>
      <c r="AU44" s="435"/>
      <c r="AV44" s="435" t="str">
        <f t="shared" si="1"/>
        <v>Наименование централизованной системы горячего водоснабжения</v>
      </c>
      <c r="AW44" s="435"/>
      <c r="AX44" s="435"/>
      <c r="AY44" s="1073">
        <v>23</v>
      </c>
    </row>
    <row r="45" spans="1:51" ht="24" customHeight="1">
      <c r="A45" s="1281" t="s">
        <v>253</v>
      </c>
      <c r="B45" s="1281" t="s">
        <v>254</v>
      </c>
      <c r="C45" s="1281" t="s">
        <v>255</v>
      </c>
      <c r="D45" s="1281" t="s">
        <v>544</v>
      </c>
      <c r="E45" s="2779"/>
      <c r="F45" s="2779"/>
      <c r="G45" s="2779"/>
      <c r="H45" s="2779"/>
      <c r="I45" s="2776" t="str">
        <f>S44&amp;".1"</f>
        <v>...1</v>
      </c>
      <c r="J45" s="1281"/>
      <c r="K45" s="1281"/>
      <c r="L45" s="1282"/>
      <c r="P45" s="2777">
        <v>1</v>
      </c>
      <c r="Q45" s="1399"/>
      <c r="R45" s="291"/>
      <c r="S45" s="1411" t="str">
        <f>$I45</f>
        <v>...1</v>
      </c>
      <c r="T45" s="221" t="s">
        <v>485</v>
      </c>
      <c r="U45" s="236"/>
      <c r="V45" s="2833"/>
      <c r="W45" s="2834"/>
      <c r="X45" s="2834"/>
      <c r="Y45" s="2834"/>
      <c r="Z45" s="2834"/>
      <c r="AA45" s="2834"/>
      <c r="AB45" s="2834"/>
      <c r="AC45" s="2834"/>
      <c r="AD45" s="2834"/>
      <c r="AE45" s="2834"/>
      <c r="AF45" s="2835"/>
      <c r="AG45" s="2836"/>
      <c r="AH45" s="2837"/>
      <c r="AI45" s="2837"/>
      <c r="AJ45" s="2837"/>
      <c r="AK45" s="2837"/>
      <c r="AL45" s="2837"/>
      <c r="AM45" s="2837"/>
      <c r="AN45" s="2837"/>
      <c r="AO45" s="2837"/>
      <c r="AP45" s="2837"/>
      <c r="AQ45" s="2837"/>
      <c r="AR45" s="2838"/>
      <c r="AS45" s="1176" t="s">
        <v>486</v>
      </c>
      <c r="AU45" s="435"/>
      <c r="AV45" s="435" t="str">
        <f t="shared" si="1"/>
        <v>Наименование признака дифференциации</v>
      </c>
      <c r="AW45" s="435"/>
      <c r="AX45" s="435"/>
      <c r="AY45" s="1073">
        <v>23</v>
      </c>
    </row>
    <row r="46" spans="1:51" ht="24" customHeight="1">
      <c r="A46" s="1281" t="s">
        <v>253</v>
      </c>
      <c r="B46" s="1281" t="s">
        <v>254</v>
      </c>
      <c r="C46" s="1281" t="s">
        <v>255</v>
      </c>
      <c r="D46" s="1281" t="s">
        <v>544</v>
      </c>
      <c r="E46" s="2779"/>
      <c r="F46" s="2779"/>
      <c r="G46" s="2779"/>
      <c r="H46" s="2779"/>
      <c r="I46" s="2787"/>
      <c r="J46" s="2776" t="str">
        <f>I45&amp;".1"</f>
        <v>...1.1</v>
      </c>
      <c r="K46" s="1281"/>
      <c r="L46" s="1282" t="s">
        <v>408</v>
      </c>
      <c r="P46" s="2777"/>
      <c r="Q46" s="2777">
        <v>1</v>
      </c>
      <c r="R46" s="292"/>
      <c r="S46" s="1411" t="str">
        <f>$J46</f>
        <v>...1.1</v>
      </c>
      <c r="T46" s="222" t="s">
        <v>409</v>
      </c>
      <c r="U46" s="236"/>
      <c r="V46" s="2769"/>
      <c r="W46" s="2770"/>
      <c r="X46" s="2770"/>
      <c r="Y46" s="2770"/>
      <c r="Z46" s="2770"/>
      <c r="AA46" s="2770"/>
      <c r="AB46" s="2770"/>
      <c r="AC46" s="2770"/>
      <c r="AD46" s="2770"/>
      <c r="AE46" s="2770"/>
      <c r="AF46" s="2771"/>
      <c r="AG46" s="2769"/>
      <c r="AH46" s="2770"/>
      <c r="AI46" s="2770"/>
      <c r="AJ46" s="2770"/>
      <c r="AK46" s="2770"/>
      <c r="AL46" s="2770"/>
      <c r="AM46" s="2770"/>
      <c r="AN46" s="2770"/>
      <c r="AO46" s="2770"/>
      <c r="AP46" s="2770"/>
      <c r="AQ46" s="2770"/>
      <c r="AR46" s="2771"/>
      <c r="AS46" s="1225" t="s">
        <v>487</v>
      </c>
      <c r="AU46" s="435"/>
      <c r="AV46" s="435" t="str">
        <f t="shared" si="1"/>
        <v>Группа потребителей</v>
      </c>
      <c r="AW46" s="435"/>
      <c r="AX46" s="435"/>
      <c r="AY46" s="1073">
        <v>23</v>
      </c>
    </row>
    <row r="47" spans="1:51" ht="24" customHeight="1">
      <c r="A47" s="1281" t="s">
        <v>253</v>
      </c>
      <c r="B47" s="1281" t="s">
        <v>254</v>
      </c>
      <c r="C47" s="1281" t="s">
        <v>255</v>
      </c>
      <c r="D47" s="1281" t="s">
        <v>544</v>
      </c>
      <c r="E47" s="2779"/>
      <c r="F47" s="2779"/>
      <c r="G47" s="2779"/>
      <c r="H47" s="2779"/>
      <c r="I47" s="2787"/>
      <c r="J47" s="2787"/>
      <c r="K47" s="2776" t="str">
        <f>J46&amp;".1"</f>
        <v>...1.1.1</v>
      </c>
      <c r="L47" s="1282"/>
      <c r="P47" s="2777"/>
      <c r="Q47" s="2777"/>
      <c r="R47" s="292">
        <v>1</v>
      </c>
      <c r="S47" s="1411" t="str">
        <f>$K47</f>
        <v>...1.1.1</v>
      </c>
      <c r="T47" s="1355"/>
      <c r="U47" s="236"/>
      <c r="V47" s="686"/>
      <c r="W47" s="686"/>
      <c r="X47" s="686"/>
      <c r="Y47" s="686"/>
      <c r="Z47" s="686"/>
      <c r="AA47" s="686"/>
      <c r="AB47" s="686"/>
      <c r="AC47" s="2780"/>
      <c r="AD47" s="2781" t="s">
        <v>66</v>
      </c>
      <c r="AE47" s="2780"/>
      <c r="AF47" s="2781" t="s">
        <v>66</v>
      </c>
      <c r="AG47" s="686"/>
      <c r="AH47" s="686"/>
      <c r="AI47" s="686"/>
      <c r="AJ47" s="686"/>
      <c r="AK47" s="686"/>
      <c r="AL47" s="686"/>
      <c r="AM47" s="686"/>
      <c r="AN47" s="2753"/>
      <c r="AO47" s="2619" t="s">
        <v>66</v>
      </c>
      <c r="AP47" s="2788"/>
      <c r="AQ47" s="2619" t="s">
        <v>19</v>
      </c>
      <c r="AR47" s="1356"/>
      <c r="AS47" s="28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253</v>
      </c>
      <c r="B48" s="1281" t="s">
        <v>254</v>
      </c>
      <c r="C48" s="1281" t="s">
        <v>255</v>
      </c>
      <c r="D48" s="1281" t="s">
        <v>544</v>
      </c>
      <c r="E48" s="2779"/>
      <c r="F48" s="2779"/>
      <c r="G48" s="2779"/>
      <c r="H48" s="2779"/>
      <c r="I48" s="2787"/>
      <c r="J48" s="2787"/>
      <c r="K48" s="2776"/>
      <c r="L48" s="1282"/>
      <c r="P48" s="2777"/>
      <c r="Q48" s="2777"/>
      <c r="R48" s="292"/>
      <c r="S48" s="1408"/>
      <c r="T48" s="236"/>
      <c r="U48" s="236"/>
      <c r="V48" s="1278"/>
      <c r="W48" s="1278"/>
      <c r="X48" s="1278"/>
      <c r="Y48" s="1278"/>
      <c r="Z48" s="1278"/>
      <c r="AA48" s="1278"/>
      <c r="AB48" s="1278"/>
      <c r="AC48" s="2781"/>
      <c r="AD48" s="2781"/>
      <c r="AE48" s="2781"/>
      <c r="AF48" s="2781"/>
      <c r="AG48" s="261"/>
      <c r="AH48" s="261"/>
      <c r="AI48" s="261"/>
      <c r="AJ48" s="261"/>
      <c r="AK48" s="261"/>
      <c r="AL48" s="261"/>
      <c r="AM48" s="261"/>
      <c r="AN48" s="2752"/>
      <c r="AO48" s="2619"/>
      <c r="AP48" s="2789"/>
      <c r="AQ48" s="2619"/>
      <c r="AR48" s="1357"/>
      <c r="AS48" s="2832"/>
      <c r="AU48" s="435"/>
      <c r="AV48" s="435" t="str">
        <f t="shared" si="1"/>
        <v/>
      </c>
      <c r="AW48" s="435"/>
      <c r="AX48" s="435"/>
      <c r="AY48" s="1073">
        <v>0</v>
      </c>
    </row>
    <row r="49" spans="1:51" ht="21" customHeight="1">
      <c r="A49" s="1281" t="s">
        <v>253</v>
      </c>
      <c r="B49" s="1281" t="s">
        <v>254</v>
      </c>
      <c r="C49" s="1281" t="s">
        <v>255</v>
      </c>
      <c r="D49" s="1281" t="s">
        <v>544</v>
      </c>
      <c r="E49" s="2779"/>
      <c r="F49" s="2779"/>
      <c r="G49" s="2779"/>
      <c r="H49" s="2779"/>
      <c r="I49" s="2787"/>
      <c r="J49" s="2776"/>
      <c r="K49" s="1281"/>
      <c r="L49" s="1282"/>
      <c r="P49" s="2777"/>
      <c r="Q49" s="2777"/>
      <c r="R49" s="291"/>
      <c r="S49" s="1196"/>
      <c r="T49" s="223" t="s">
        <v>488</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489</v>
      </c>
      <c r="AU49" s="435"/>
      <c r="AV49" s="435" t="str">
        <f t="shared" si="1"/>
        <v>Добавить значение признака дифференциации</v>
      </c>
      <c r="AW49" s="435"/>
      <c r="AX49" s="435"/>
      <c r="AY49" s="1073">
        <v>20</v>
      </c>
    </row>
    <row r="50" spans="1:51" ht="21.95" customHeight="1">
      <c r="A50" s="1281" t="s">
        <v>253</v>
      </c>
      <c r="B50" s="1281" t="s">
        <v>254</v>
      </c>
      <c r="C50" s="1281" t="s">
        <v>255</v>
      </c>
      <c r="D50" s="1281" t="s">
        <v>544</v>
      </c>
      <c r="E50" s="2779"/>
      <c r="F50" s="2779"/>
      <c r="G50" s="2779"/>
      <c r="H50" s="2779"/>
      <c r="I50" s="2776"/>
      <c r="J50" s="1281"/>
      <c r="K50" s="1281"/>
      <c r="L50" s="1282"/>
      <c r="P50" s="2777"/>
      <c r="Q50" s="1399"/>
      <c r="R50" s="291"/>
      <c r="S50" s="1196"/>
      <c r="T50" s="300" t="s">
        <v>414</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253</v>
      </c>
      <c r="B51" s="1281" t="s">
        <v>254</v>
      </c>
      <c r="C51" s="1281" t="s">
        <v>255</v>
      </c>
      <c r="D51" s="1281" t="s">
        <v>544</v>
      </c>
      <c r="E51" s="2779"/>
      <c r="F51" s="2779"/>
      <c r="G51" s="2779"/>
      <c r="H51" s="2778"/>
      <c r="I51" s="1281"/>
      <c r="J51" s="1281"/>
      <c r="K51" s="1281"/>
      <c r="L51" s="1282"/>
      <c r="M51" s="1283"/>
      <c r="N51" s="1283"/>
      <c r="O51" s="472"/>
      <c r="P51" s="295"/>
      <c r="Q51" s="310"/>
      <c r="R51" s="290"/>
      <c r="S51" s="1196"/>
      <c r="T51" s="307" t="s">
        <v>490</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520" customFormat="1" ht="0" hidden="1" customHeight="1">
      <c r="A52" s="1261" t="s">
        <v>253</v>
      </c>
      <c r="B52" s="1261" t="s">
        <v>254</v>
      </c>
      <c r="C52" s="1232"/>
      <c r="D52" s="1232"/>
      <c r="E52" s="2779"/>
      <c r="F52" s="2778"/>
      <c r="G52" s="1232"/>
      <c r="H52" s="1232"/>
      <c r="I52" s="1232"/>
      <c r="J52" s="1232"/>
      <c r="K52" s="1232"/>
      <c r="L52" s="1412"/>
      <c r="M52" s="1239"/>
      <c r="N52" s="1239"/>
      <c r="P52" s="1234"/>
      <c r="Q52" s="1235"/>
      <c r="R52" s="1234"/>
      <c r="S52" s="1240"/>
      <c r="T52" s="1243" t="s">
        <v>161</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520" customFormat="1" ht="0" hidden="1" customHeight="1">
      <c r="A53" s="1261" t="s">
        <v>253</v>
      </c>
      <c r="B53" s="1261"/>
      <c r="C53" s="1261"/>
      <c r="D53" s="1261"/>
      <c r="E53" s="2778"/>
      <c r="F53" s="1261"/>
      <c r="G53" s="1261"/>
      <c r="H53" s="1261"/>
      <c r="I53" s="1261"/>
      <c r="J53" s="1261"/>
      <c r="K53" s="1261"/>
      <c r="L53" s="1264"/>
      <c r="M53" s="1239"/>
      <c r="N53" s="1239"/>
      <c r="O53" s="453"/>
      <c r="P53" s="315"/>
      <c r="Q53" s="1262"/>
      <c r="R53" s="315"/>
      <c r="S53" s="1240"/>
      <c r="T53" s="1243" t="s">
        <v>162</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520"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163</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786"/>
      <c r="U56" s="2786"/>
      <c r="V56" s="2786"/>
      <c r="W56" s="2786"/>
      <c r="X56" s="2786"/>
      <c r="Y56" s="2786"/>
      <c r="Z56" s="2786"/>
      <c r="AA56" s="2786"/>
      <c r="AB56" s="2786"/>
      <c r="AC56" s="2786"/>
      <c r="AD56" s="2786"/>
      <c r="AE56" s="2786"/>
      <c r="AF56" s="2786"/>
      <c r="AG56" s="2786"/>
      <c r="AH56" s="2786"/>
      <c r="AI56" s="2786"/>
      <c r="AJ56" s="2786"/>
      <c r="AK56" s="2786"/>
      <c r="AL56" s="2786"/>
      <c r="AM56" s="2786"/>
      <c r="AN56" s="2786"/>
      <c r="AO56" s="2786"/>
      <c r="AP56" s="2786"/>
      <c r="AQ56" s="2786"/>
      <c r="AR56" s="2786"/>
      <c r="AS56" s="2786"/>
      <c r="AY56" s="1073">
        <v>14</v>
      </c>
    </row>
    <row r="57" spans="1:51" ht="14.65" customHeight="1">
      <c r="O57" s="472"/>
      <c r="AY57" s="1073">
        <v>14</v>
      </c>
    </row>
    <row r="58" spans="1:51" ht="14.65" customHeight="1">
      <c r="O58" s="472"/>
      <c r="S58" s="1171"/>
      <c r="T58" s="2786"/>
      <c r="U58" s="2786"/>
      <c r="V58" s="2786"/>
      <c r="W58" s="2786"/>
      <c r="X58" s="2786"/>
      <c r="Y58" s="2786"/>
      <c r="Z58" s="2786"/>
      <c r="AA58" s="2786"/>
      <c r="AB58" s="2786"/>
      <c r="AC58" s="2786"/>
      <c r="AD58" s="2786"/>
      <c r="AE58" s="2786"/>
      <c r="AF58" s="2786"/>
      <c r="AG58" s="2786"/>
      <c r="AH58" s="2786"/>
      <c r="AI58" s="2786"/>
      <c r="AJ58" s="2786"/>
      <c r="AK58" s="2786"/>
      <c r="AL58" s="2786"/>
      <c r="AM58" s="2786"/>
      <c r="AN58" s="2786"/>
      <c r="AO58" s="2786"/>
      <c r="AP58" s="2786"/>
      <c r="AQ58" s="2786"/>
      <c r="AR58" s="2786"/>
      <c r="AS58" s="2786"/>
      <c r="AY58" s="1073">
        <v>14</v>
      </c>
    </row>
    <row r="59" spans="1:51" ht="22.5" hidden="1" customHeight="1">
      <c r="A59" s="1078" t="s">
        <v>81</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519" hidden="1"/>
    <col min="2" max="2" width="11" style="2519" hidden="1" customWidth="1"/>
    <col min="3" max="3" width="10.5703125" style="2519" hidden="1"/>
    <col min="4" max="4" width="11.85546875" style="2519" hidden="1" customWidth="1"/>
    <col min="5" max="5" width="10" style="2519" hidden="1" customWidth="1"/>
    <col min="6" max="6" width="8.7109375" style="2519" hidden="1" customWidth="1"/>
    <col min="7" max="7" width="7.5703125" style="2519" hidden="1" customWidth="1"/>
    <col min="8" max="8" width="11.42578125" style="2519" hidden="1" customWidth="1"/>
    <col min="9" max="9" width="14.140625" style="2519" hidden="1" customWidth="1"/>
    <col min="10" max="10" width="9.85546875" style="2519" hidden="1" customWidth="1"/>
    <col min="11" max="11" width="14.7109375" style="2519" hidden="1" customWidth="1"/>
    <col min="12" max="12" width="19.140625" style="2545" hidden="1" customWidth="1"/>
    <col min="13" max="14" width="12.28515625" style="2546" hidden="1" customWidth="1"/>
    <col min="15" max="15" width="23.42578125" style="2546" hidden="1" customWidth="1"/>
    <col min="16" max="16" width="3" style="2547" customWidth="1"/>
    <col min="17" max="18" width="3" style="2548" customWidth="1"/>
    <col min="19" max="19" width="12" style="2549" customWidth="1"/>
    <col min="20" max="20" width="35" style="2513" customWidth="1"/>
    <col min="21" max="21" width="0.140625" style="2513" customWidth="1"/>
    <col min="22" max="28" width="19.7109375" style="2513" hidden="1" customWidth="1"/>
    <col min="29" max="29" width="11.7109375" style="2513" hidden="1" customWidth="1"/>
    <col min="30" max="30" width="3.7109375" style="2513" hidden="1" customWidth="1"/>
    <col min="31" max="31" width="11.7109375" style="2513" hidden="1" customWidth="1"/>
    <col min="32" max="32" width="8.5703125" style="2513" hidden="1" customWidth="1"/>
    <col min="33" max="33" width="19.7109375" style="2513" customWidth="1"/>
    <col min="34" max="39" width="19" style="2513" customWidth="1"/>
    <col min="40" max="40" width="11" style="2513" customWidth="1"/>
    <col min="41" max="41" width="3.7109375" style="2513" customWidth="1"/>
    <col min="42" max="42" width="11" style="2513" customWidth="1"/>
    <col min="43" max="43" width="8.5703125" style="2513" hidden="1" customWidth="1"/>
    <col min="44" max="44" width="4" style="2513" customWidth="1"/>
    <col min="45" max="45" width="115" style="2513" customWidth="1"/>
    <col min="46" max="50" width="10" style="2520" customWidth="1"/>
    <col min="51" max="51" width="10.5703125" style="2513" hidden="1"/>
  </cols>
  <sheetData>
    <row r="1" spans="1:51" ht="22.5" hidden="1" customHeight="1">
      <c r="AB1" s="263"/>
      <c r="AC1" s="263"/>
      <c r="AM1" s="263"/>
      <c r="AN1" s="263"/>
      <c r="AY1" s="1073" t="s">
        <v>14</v>
      </c>
    </row>
    <row r="2" spans="1:51" ht="23.25" hidden="1" customHeight="1">
      <c r="A2" s="1281"/>
      <c r="B2" s="1281"/>
      <c r="C2" s="1281"/>
      <c r="D2" s="1281"/>
      <c r="E2" s="2778">
        <v>1</v>
      </c>
      <c r="F2" s="1281"/>
      <c r="G2" s="1281"/>
      <c r="H2" s="1281"/>
      <c r="I2" s="1281"/>
      <c r="J2" s="1281"/>
      <c r="K2" s="1281"/>
      <c r="L2" s="1282"/>
      <c r="M2" s="1283"/>
      <c r="N2" s="1283"/>
      <c r="O2" s="1283"/>
      <c r="P2" s="296"/>
      <c r="Q2" s="295"/>
      <c r="R2" s="290"/>
      <c r="S2" s="1411" t="e">
        <f>INDEX(PT_DIFFERENTIATION_NUM_NTAR,MATCH(A2,PT_DIFFERENTIATION_NTAR_ID,0))</f>
        <v>#N/A</v>
      </c>
      <c r="T2" s="234" t="s">
        <v>122</v>
      </c>
      <c r="U2" s="236"/>
      <c r="V2" s="2766"/>
      <c r="W2" s="2767"/>
      <c r="X2" s="2767"/>
      <c r="Y2" s="2767"/>
      <c r="Z2" s="2767"/>
      <c r="AA2" s="2767"/>
      <c r="AB2" s="2767"/>
      <c r="AC2" s="2767"/>
      <c r="AD2" s="2767"/>
      <c r="AE2" s="2767"/>
      <c r="AF2" s="2768"/>
      <c r="AG2" s="2766" t="e">
        <f>INDEX(PT_DIFFERENTIATION_NTAR,MATCH(A2,PT_DIFFERENTIATION_NTAR_ID,0))</f>
        <v>#N/A</v>
      </c>
      <c r="AH2" s="2767"/>
      <c r="AI2" s="2767"/>
      <c r="AJ2" s="2767"/>
      <c r="AK2" s="2767"/>
      <c r="AL2" s="2767"/>
      <c r="AM2" s="2767"/>
      <c r="AN2" s="2767"/>
      <c r="AO2" s="2767"/>
      <c r="AP2" s="2767"/>
      <c r="AQ2" s="2767"/>
      <c r="AR2" s="2768"/>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779"/>
      <c r="F3" s="2778">
        <v>1</v>
      </c>
      <c r="G3" s="1281"/>
      <c r="H3" s="1281"/>
      <c r="I3" s="1281"/>
      <c r="J3" s="1281"/>
      <c r="K3" s="1281"/>
      <c r="L3" s="1282"/>
      <c r="M3" s="1283"/>
      <c r="N3" s="1283"/>
      <c r="O3" s="1283"/>
      <c r="P3" s="1405"/>
      <c r="Q3" s="287"/>
      <c r="R3" s="288"/>
      <c r="S3" s="1411" t="e">
        <f>INDEX(PT_DIFFERENTIATION_NUM_TER,MATCH(B3,PT_DIFFERENTIATION_TER_ID,0))</f>
        <v>#N/A</v>
      </c>
      <c r="T3" s="244" t="s">
        <v>399</v>
      </c>
      <c r="U3" s="236"/>
      <c r="V3" s="2766"/>
      <c r="W3" s="2767"/>
      <c r="X3" s="2767"/>
      <c r="Y3" s="2767"/>
      <c r="Z3" s="2767"/>
      <c r="AA3" s="2767"/>
      <c r="AB3" s="2767"/>
      <c r="AC3" s="2767"/>
      <c r="AD3" s="2767"/>
      <c r="AE3" s="2767"/>
      <c r="AF3" s="2768"/>
      <c r="AG3" s="2766" t="e">
        <f>INDEX(PT_DIFFERENTIATION_TER,MATCH(B3,PT_DIFFERENTIATION_TER_ID,0))</f>
        <v>#N/A</v>
      </c>
      <c r="AH3" s="2767"/>
      <c r="AI3" s="2767"/>
      <c r="AJ3" s="2767"/>
      <c r="AK3" s="2767"/>
      <c r="AL3" s="2767"/>
      <c r="AM3" s="2767"/>
      <c r="AN3" s="2767"/>
      <c r="AO3" s="2767"/>
      <c r="AP3" s="2767"/>
      <c r="AQ3" s="2767"/>
      <c r="AR3" s="2768"/>
      <c r="AS3" s="1176" t="s">
        <v>400</v>
      </c>
      <c r="AU3" s="435"/>
      <c r="AV3" s="435" t="str">
        <f t="shared" si="0"/>
        <v>Территория действия тарифа</v>
      </c>
      <c r="AW3" s="435"/>
      <c r="AX3" s="435"/>
      <c r="AY3" s="1073">
        <v>0</v>
      </c>
    </row>
    <row r="4" spans="1:51" ht="23.25" hidden="1" customHeight="1">
      <c r="A4" s="1281"/>
      <c r="B4" s="1281"/>
      <c r="C4" s="1281"/>
      <c r="D4" s="1281"/>
      <c r="E4" s="2779"/>
      <c r="F4" s="2779"/>
      <c r="G4" s="2778">
        <v>1</v>
      </c>
      <c r="H4" s="1281"/>
      <c r="I4" s="1281"/>
      <c r="J4" s="1281"/>
      <c r="K4" s="1281"/>
      <c r="L4" s="1282"/>
      <c r="M4" s="1283"/>
      <c r="N4" s="1283"/>
      <c r="O4" s="1283"/>
      <c r="P4" s="289"/>
      <c r="Q4" s="287"/>
      <c r="R4" s="288"/>
      <c r="S4" s="1411" t="e">
        <f>INDEX(PT_DIFFERENTIATION_NUM_CS,MATCH(C4,PT_DIFFERENTIATION_CS_ID,0))</f>
        <v>#N/A</v>
      </c>
      <c r="T4" s="245" t="s">
        <v>532</v>
      </c>
      <c r="U4" s="236"/>
      <c r="V4" s="2766"/>
      <c r="W4" s="2767"/>
      <c r="X4" s="2767"/>
      <c r="Y4" s="2767"/>
      <c r="Z4" s="2767"/>
      <c r="AA4" s="2767"/>
      <c r="AB4" s="2767"/>
      <c r="AC4" s="2767"/>
      <c r="AD4" s="2767"/>
      <c r="AE4" s="2767"/>
      <c r="AF4" s="2768"/>
      <c r="AG4" s="2766" t="e">
        <f>INDEX(PT_DIFFERENTIATION_CS,MATCH(C4,PT_DIFFERENTIATION_CS_ID,0))</f>
        <v>#N/A</v>
      </c>
      <c r="AH4" s="2767"/>
      <c r="AI4" s="2767"/>
      <c r="AJ4" s="2767"/>
      <c r="AK4" s="2767"/>
      <c r="AL4" s="2767"/>
      <c r="AM4" s="2767"/>
      <c r="AN4" s="2767"/>
      <c r="AO4" s="2767"/>
      <c r="AP4" s="2767"/>
      <c r="AQ4" s="2767"/>
      <c r="AR4" s="2768"/>
      <c r="AS4" s="1176" t="s">
        <v>533</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779"/>
      <c r="F5" s="2779"/>
      <c r="G5" s="2779"/>
      <c r="H5" s="2779"/>
      <c r="I5" s="2776" t="e">
        <f>S4&amp;".1"</f>
        <v>#N/A</v>
      </c>
      <c r="J5" s="1281"/>
      <c r="K5" s="1281"/>
      <c r="L5" s="1282"/>
      <c r="P5" s="2777">
        <v>1</v>
      </c>
      <c r="Q5" s="1399"/>
      <c r="R5" s="291"/>
      <c r="S5" s="1411" t="e">
        <f>$I5</f>
        <v>#N/A</v>
      </c>
      <c r="T5" s="221" t="s">
        <v>485</v>
      </c>
      <c r="U5" s="236"/>
      <c r="V5" s="2833"/>
      <c r="W5" s="2834"/>
      <c r="X5" s="2834"/>
      <c r="Y5" s="2834"/>
      <c r="Z5" s="2834"/>
      <c r="AA5" s="2834"/>
      <c r="AB5" s="2834"/>
      <c r="AC5" s="2834"/>
      <c r="AD5" s="2834"/>
      <c r="AE5" s="2834"/>
      <c r="AF5" s="2835"/>
      <c r="AG5" s="2836"/>
      <c r="AH5" s="2837"/>
      <c r="AI5" s="2837"/>
      <c r="AJ5" s="2837"/>
      <c r="AK5" s="2837"/>
      <c r="AL5" s="2837"/>
      <c r="AM5" s="2837"/>
      <c r="AN5" s="2837"/>
      <c r="AO5" s="2837"/>
      <c r="AP5" s="2837"/>
      <c r="AQ5" s="2837"/>
      <c r="AR5" s="2838"/>
      <c r="AS5" s="1176" t="s">
        <v>486</v>
      </c>
      <c r="AU5" s="435"/>
      <c r="AV5" s="435" t="str">
        <f t="shared" si="0"/>
        <v>Наименование признака дифференциации</v>
      </c>
      <c r="AW5" s="435"/>
      <c r="AX5" s="435"/>
      <c r="AY5" s="1073">
        <v>0</v>
      </c>
    </row>
    <row r="6" spans="1:51" ht="23.25" hidden="1" customHeight="1">
      <c r="A6" s="1281"/>
      <c r="B6" s="1281"/>
      <c r="C6" s="1281"/>
      <c r="D6" s="1281"/>
      <c r="E6" s="2779"/>
      <c r="F6" s="2779"/>
      <c r="G6" s="2779"/>
      <c r="H6" s="2779"/>
      <c r="I6" s="2787"/>
      <c r="J6" s="2776" t="e">
        <f>I5&amp;".1"</f>
        <v>#N/A</v>
      </c>
      <c r="K6" s="1281"/>
      <c r="L6" s="1282" t="s">
        <v>408</v>
      </c>
      <c r="P6" s="2777"/>
      <c r="Q6" s="2777">
        <v>1</v>
      </c>
      <c r="R6" s="292"/>
      <c r="S6" s="1411" t="e">
        <f>$J6</f>
        <v>#N/A</v>
      </c>
      <c r="T6" s="222" t="s">
        <v>409</v>
      </c>
      <c r="U6" s="236"/>
      <c r="V6" s="2769"/>
      <c r="W6" s="2770"/>
      <c r="X6" s="2770"/>
      <c r="Y6" s="2770"/>
      <c r="Z6" s="2770"/>
      <c r="AA6" s="2770"/>
      <c r="AB6" s="2770"/>
      <c r="AC6" s="2770"/>
      <c r="AD6" s="2770"/>
      <c r="AE6" s="2770"/>
      <c r="AF6" s="2771"/>
      <c r="AG6" s="2769"/>
      <c r="AH6" s="2770"/>
      <c r="AI6" s="2770"/>
      <c r="AJ6" s="2770"/>
      <c r="AK6" s="2770"/>
      <c r="AL6" s="2770"/>
      <c r="AM6" s="2770"/>
      <c r="AN6" s="2770"/>
      <c r="AO6" s="2770"/>
      <c r="AP6" s="2770"/>
      <c r="AQ6" s="2770"/>
      <c r="AR6" s="2771"/>
      <c r="AS6" s="1225" t="s">
        <v>487</v>
      </c>
      <c r="AU6" s="435"/>
      <c r="AV6" s="435" t="str">
        <f t="shared" si="0"/>
        <v>Группа потребителей</v>
      </c>
      <c r="AW6" s="435"/>
      <c r="AX6" s="435"/>
      <c r="AY6" s="1073">
        <v>0</v>
      </c>
    </row>
    <row r="7" spans="1:51" ht="23.25" hidden="1" customHeight="1">
      <c r="A7" s="1281"/>
      <c r="B7" s="1281"/>
      <c r="C7" s="1281"/>
      <c r="D7" s="1281"/>
      <c r="E7" s="2779"/>
      <c r="F7" s="2779"/>
      <c r="G7" s="2779"/>
      <c r="H7" s="2779"/>
      <c r="I7" s="2787"/>
      <c r="J7" s="2787"/>
      <c r="K7" s="2776" t="e">
        <f>J6&amp;".1"</f>
        <v>#N/A</v>
      </c>
      <c r="L7" s="1282"/>
      <c r="P7" s="2777"/>
      <c r="Q7" s="2777"/>
      <c r="R7" s="292">
        <v>1</v>
      </c>
      <c r="S7" s="1411" t="e">
        <f>$K7</f>
        <v>#N/A</v>
      </c>
      <c r="T7" s="1355"/>
      <c r="U7" s="236"/>
      <c r="V7" s="686"/>
      <c r="W7" s="686"/>
      <c r="X7" s="686"/>
      <c r="Y7" s="686"/>
      <c r="Z7" s="686"/>
      <c r="AA7" s="686"/>
      <c r="AB7" s="1175"/>
      <c r="AC7" s="2753"/>
      <c r="AD7" s="2619" t="s">
        <v>66</v>
      </c>
      <c r="AE7" s="2753"/>
      <c r="AF7" s="2619" t="s">
        <v>66</v>
      </c>
      <c r="AG7" s="686"/>
      <c r="AH7" s="686"/>
      <c r="AI7" s="686"/>
      <c r="AJ7" s="686"/>
      <c r="AK7" s="686"/>
      <c r="AL7" s="686"/>
      <c r="AM7" s="1175"/>
      <c r="AN7" s="2753"/>
      <c r="AO7" s="2619" t="s">
        <v>66</v>
      </c>
      <c r="AP7" s="2788"/>
      <c r="AQ7" s="2619" t="s">
        <v>66</v>
      </c>
      <c r="AR7" s="1356"/>
      <c r="AS7" s="28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779"/>
      <c r="F8" s="2779"/>
      <c r="G8" s="2779"/>
      <c r="H8" s="2779"/>
      <c r="I8" s="2787"/>
      <c r="J8" s="2787"/>
      <c r="K8" s="2776"/>
      <c r="L8" s="1282"/>
      <c r="P8" s="2777"/>
      <c r="Q8" s="2777"/>
      <c r="R8" s="292"/>
      <c r="S8" s="1408"/>
      <c r="T8" s="236"/>
      <c r="U8" s="236"/>
      <c r="V8" s="261"/>
      <c r="W8" s="261"/>
      <c r="X8" s="261"/>
      <c r="Y8" s="261"/>
      <c r="Z8" s="261"/>
      <c r="AA8" s="261"/>
      <c r="AB8" s="264" t="str">
        <f>AC7&amp;"-"&amp;AE7</f>
        <v>-</v>
      </c>
      <c r="AC8" s="2752"/>
      <c r="AD8" s="2619"/>
      <c r="AE8" s="2752"/>
      <c r="AF8" s="2619"/>
      <c r="AG8" s="261"/>
      <c r="AH8" s="261"/>
      <c r="AI8" s="261"/>
      <c r="AJ8" s="261"/>
      <c r="AK8" s="261"/>
      <c r="AL8" s="261"/>
      <c r="AM8" s="264" t="str">
        <f>AN7&amp;"-"&amp;AP7</f>
        <v>-</v>
      </c>
      <c r="AN8" s="2752"/>
      <c r="AO8" s="2619"/>
      <c r="AP8" s="2789"/>
      <c r="AQ8" s="2619"/>
      <c r="AR8" s="1357"/>
      <c r="AS8" s="2832"/>
      <c r="AU8" s="435"/>
      <c r="AV8" s="435" t="str">
        <f t="shared" si="0"/>
        <v/>
      </c>
      <c r="AW8" s="435"/>
      <c r="AX8" s="435"/>
      <c r="AY8" s="1073">
        <v>0</v>
      </c>
    </row>
    <row r="9" spans="1:51" ht="21" hidden="1" customHeight="1">
      <c r="A9" s="1281"/>
      <c r="B9" s="1281"/>
      <c r="C9" s="1281"/>
      <c r="D9" s="1281"/>
      <c r="E9" s="2779"/>
      <c r="F9" s="2779"/>
      <c r="G9" s="2779"/>
      <c r="H9" s="2779"/>
      <c r="I9" s="2787"/>
      <c r="J9" s="2776"/>
      <c r="K9" s="1281"/>
      <c r="L9" s="1282"/>
      <c r="P9" s="2777"/>
      <c r="Q9" s="2777"/>
      <c r="R9" s="291"/>
      <c r="S9" s="1196"/>
      <c r="T9" s="223" t="s">
        <v>488</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489</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779"/>
      <c r="F10" s="2779"/>
      <c r="G10" s="2779"/>
      <c r="H10" s="2779"/>
      <c r="I10" s="2776"/>
      <c r="J10" s="1281"/>
      <c r="K10" s="1281"/>
      <c r="L10" s="1282"/>
      <c r="P10" s="2777"/>
      <c r="Q10" s="1399"/>
      <c r="R10" s="291"/>
      <c r="S10" s="1196"/>
      <c r="T10" s="300" t="s">
        <v>414</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779"/>
      <c r="F11" s="2779"/>
      <c r="G11" s="2779"/>
      <c r="H11" s="2778"/>
      <c r="I11" s="1281"/>
      <c r="J11" s="1281"/>
      <c r="K11" s="1281"/>
      <c r="L11" s="1282"/>
      <c r="M11" s="1283"/>
      <c r="N11" s="1283"/>
      <c r="O11" s="472"/>
      <c r="P11" s="295"/>
      <c r="Q11" s="310"/>
      <c r="R11" s="290"/>
      <c r="S11" s="1196"/>
      <c r="T11" s="307" t="s">
        <v>490</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520" customFormat="1" ht="14.25" hidden="1" customHeight="1">
      <c r="A12" s="1261"/>
      <c r="B12" s="1261"/>
      <c r="C12" s="1232"/>
      <c r="D12" s="1232"/>
      <c r="E12" s="2779"/>
      <c r="F12" s="2778"/>
      <c r="G12" s="1232"/>
      <c r="H12" s="1232"/>
      <c r="I12" s="1232"/>
      <c r="J12" s="1232"/>
      <c r="K12" s="1232"/>
      <c r="L12" s="1412"/>
      <c r="M12" s="1239"/>
      <c r="N12" s="1239"/>
      <c r="P12" s="1234"/>
      <c r="Q12" s="1235"/>
      <c r="R12" s="1234"/>
      <c r="S12" s="1240"/>
      <c r="T12" s="1243" t="s">
        <v>161</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520" customFormat="1" ht="14.25" hidden="1" customHeight="1">
      <c r="A13" s="1261"/>
      <c r="B13" s="1261"/>
      <c r="C13" s="1261"/>
      <c r="D13" s="1261"/>
      <c r="E13" s="2778"/>
      <c r="F13" s="1261"/>
      <c r="G13" s="1261"/>
      <c r="H13" s="1261"/>
      <c r="I13" s="1261"/>
      <c r="J13" s="1261"/>
      <c r="K13" s="1261"/>
      <c r="L13" s="1264"/>
      <c r="M13" s="1239"/>
      <c r="N13" s="1239"/>
      <c r="O13" s="453"/>
      <c r="P13" s="315"/>
      <c r="Q13" s="1262"/>
      <c r="R13" s="315"/>
      <c r="S13" s="1240"/>
      <c r="T13" s="1243" t="s">
        <v>162</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780"/>
      <c r="AO15" s="2781" t="s">
        <v>66</v>
      </c>
      <c r="AP15" s="2780"/>
      <c r="AQ15" s="2781" t="s">
        <v>66</v>
      </c>
      <c r="AY15" s="1073">
        <v>0</v>
      </c>
    </row>
    <row r="16" spans="1:51" ht="14.25" hidden="1" customHeight="1">
      <c r="AG16" s="1278"/>
      <c r="AH16" s="1278"/>
      <c r="AI16" s="1278"/>
      <c r="AJ16" s="1278"/>
      <c r="AK16" s="1278"/>
      <c r="AL16" s="1278"/>
      <c r="AM16" s="264" t="str">
        <f>AN15&amp;"-"&amp;AP15</f>
        <v>-</v>
      </c>
      <c r="AN16" s="2781"/>
      <c r="AO16" s="2781"/>
      <c r="AP16" s="2781"/>
      <c r="AQ16" s="2781"/>
      <c r="AY16" s="1073">
        <v>0</v>
      </c>
    </row>
    <row r="17" spans="1:51" ht="14.25" hidden="1" customHeight="1">
      <c r="AQ17" s="263"/>
      <c r="AY17" s="1073">
        <v>0</v>
      </c>
    </row>
    <row r="18" spans="1:51" s="2519" customFormat="1" ht="22.5" hidden="1" customHeight="1">
      <c r="L18" s="1396"/>
      <c r="M18" s="1280"/>
      <c r="N18" s="1280"/>
      <c r="O18" s="1285" t="s">
        <v>416</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519"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519" customFormat="1" ht="12" hidden="1" customHeight="1">
      <c r="L20" s="1396"/>
      <c r="M20" s="1280"/>
      <c r="N20" s="1280"/>
      <c r="O20" s="1282" t="s">
        <v>417</v>
      </c>
      <c r="P20" s="1280"/>
      <c r="Q20" s="1360"/>
      <c r="R20" s="1360"/>
      <c r="S20" s="664"/>
      <c r="T20" s="1078" t="s">
        <v>418</v>
      </c>
      <c r="W20" s="1284"/>
      <c r="X20" s="1284"/>
      <c r="Y20" s="1284"/>
      <c r="Z20" s="1284"/>
      <c r="AA20" s="1284"/>
      <c r="AD20" s="122" t="s">
        <v>419</v>
      </c>
      <c r="AF20" s="122" t="s">
        <v>420</v>
      </c>
      <c r="AG20" s="1078" t="s">
        <v>418</v>
      </c>
      <c r="AH20" s="1284"/>
      <c r="AI20" s="1284"/>
      <c r="AJ20" s="1284"/>
      <c r="AK20" s="1284"/>
      <c r="AL20" s="1284"/>
      <c r="AO20" s="122" t="s">
        <v>421</v>
      </c>
      <c r="AQ20" s="122" t="s">
        <v>420</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74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49"/>
      <c r="U24" s="2749"/>
      <c r="V24" s="2749"/>
      <c r="W24" s="2749"/>
      <c r="X24" s="2749"/>
      <c r="Y24" s="2749"/>
      <c r="Z24" s="2749"/>
      <c r="AA24" s="2749"/>
      <c r="AB24" s="2749"/>
      <c r="AC24" s="2749"/>
      <c r="AD24" s="2749"/>
      <c r="AE24" s="2749"/>
      <c r="AF24" s="2749"/>
      <c r="AG24" s="2749"/>
      <c r="AH24" s="2749"/>
      <c r="AI24" s="2749"/>
      <c r="AJ24" s="2749"/>
      <c r="AK24" s="2749"/>
      <c r="AL24" s="2749"/>
      <c r="AM24" s="2749"/>
      <c r="AN24" s="2749"/>
      <c r="AO24" s="2749"/>
      <c r="AP24" s="2749"/>
      <c r="AQ24" s="1161"/>
      <c r="AY24" s="1073">
        <v>25</v>
      </c>
    </row>
    <row r="25" spans="1:51" ht="14.65" customHeight="1">
      <c r="Q25" s="311"/>
      <c r="R25" s="311"/>
      <c r="S25" s="2696" t="str">
        <f>IF(org=0,"Не определено",org)</f>
        <v>ООО "Ноябрьская ПГЭ"</v>
      </c>
      <c r="T25" s="2696"/>
      <c r="U25" s="2696"/>
      <c r="V25" s="2696"/>
      <c r="W25" s="2696"/>
      <c r="X25" s="2696"/>
      <c r="Y25" s="2696"/>
      <c r="Z25" s="2696"/>
      <c r="AA25" s="2696"/>
      <c r="AB25" s="2696"/>
      <c r="AC25" s="2696"/>
      <c r="AD25" s="2696"/>
      <c r="AE25" s="2696"/>
      <c r="AF25" s="2696"/>
      <c r="AG25" s="2696"/>
      <c r="AH25" s="2696"/>
      <c r="AI25" s="2696"/>
      <c r="AJ25" s="2696"/>
      <c r="AK25" s="2696"/>
      <c r="AL25" s="2696"/>
      <c r="AM25" s="2696"/>
      <c r="AN25" s="2696"/>
      <c r="AO25" s="2696"/>
      <c r="AP25" s="2696"/>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529" customFormat="1" ht="25.5" hidden="1" customHeight="1">
      <c r="A27" s="1286"/>
      <c r="B27" s="1286"/>
      <c r="C27" s="1286"/>
      <c r="D27" s="1286"/>
      <c r="E27" s="1286"/>
      <c r="F27" s="1286"/>
      <c r="G27" s="1286"/>
      <c r="H27" s="1286"/>
      <c r="I27" s="1286"/>
      <c r="J27" s="1286"/>
      <c r="K27" s="1286"/>
      <c r="L27" s="1287"/>
      <c r="M27" s="1286"/>
      <c r="N27" s="1286"/>
      <c r="O27" s="1286"/>
      <c r="S27" s="2772" t="s">
        <v>42</v>
      </c>
      <c r="T27" s="2772"/>
      <c r="U27" s="1290"/>
      <c r="V27" s="2754" t="str">
        <f>IF(TITLE_NAME_OR_PR_CHANGE="",IF(TITLE_NAME_OR_PR="","",TITLE_NAME_OR_PR),TITLE_NAME_OR_PR_CHANGE)</f>
        <v/>
      </c>
      <c r="W27" s="2754"/>
      <c r="X27" s="2754"/>
      <c r="Y27" s="2754"/>
      <c r="Z27" s="2754"/>
      <c r="AA27" s="2754"/>
      <c r="AB27" s="2754"/>
      <c r="AC27" s="2754"/>
      <c r="AD27" s="2754"/>
      <c r="AE27" s="2754"/>
      <c r="AF27" s="262"/>
      <c r="AG27" s="2754" t="str">
        <f>IF(TITLE_NAME_OR_PR_CHANGE="",IF(TITLE_NAME_OR_PR="","",TITLE_NAME_OR_PR),TITLE_NAME_OR_PR_CHANGE)</f>
        <v/>
      </c>
      <c r="AH27" s="2754"/>
      <c r="AI27" s="2754"/>
      <c r="AJ27" s="2754"/>
      <c r="AK27" s="2754"/>
      <c r="AL27" s="2754"/>
      <c r="AM27" s="2754"/>
      <c r="AN27" s="2754"/>
      <c r="AO27" s="2754"/>
      <c r="AP27" s="2754"/>
      <c r="AQ27" s="262"/>
      <c r="AR27" s="262"/>
      <c r="AS27" s="216"/>
      <c r="AT27" s="303"/>
      <c r="AU27" s="303"/>
      <c r="AV27" s="303"/>
      <c r="AW27" s="303"/>
      <c r="AX27" s="303"/>
      <c r="AY27" s="353">
        <v>0</v>
      </c>
    </row>
    <row r="28" spans="1:51" s="2529" customFormat="1" ht="18.75" hidden="1" customHeight="1">
      <c r="A28" s="1286"/>
      <c r="B28" s="1286"/>
      <c r="C28" s="1286"/>
      <c r="D28" s="1286"/>
      <c r="E28" s="1286"/>
      <c r="F28" s="1286"/>
      <c r="G28" s="1286"/>
      <c r="H28" s="1286"/>
      <c r="I28" s="1286"/>
      <c r="J28" s="1286"/>
      <c r="K28" s="1286"/>
      <c r="L28" s="1287"/>
      <c r="M28" s="1286"/>
      <c r="N28" s="1286"/>
      <c r="O28" s="1286"/>
      <c r="S28" s="2772" t="s">
        <v>422</v>
      </c>
      <c r="T28" s="2772"/>
      <c r="U28" s="1290"/>
      <c r="V28" s="2755">
        <f>IF(TITLE_DATE_PR_CHANGE="",IF(TITLE_DATE_PR="","",TITLE_DATE_PR),TITLE_DATE_PR_CHANGE)</f>
        <v>45583</v>
      </c>
      <c r="W28" s="2755"/>
      <c r="X28" s="2755"/>
      <c r="Y28" s="2755"/>
      <c r="Z28" s="2755"/>
      <c r="AA28" s="2755"/>
      <c r="AB28" s="2755"/>
      <c r="AC28" s="2755"/>
      <c r="AD28" s="2755"/>
      <c r="AE28" s="2755"/>
      <c r="AF28" s="262"/>
      <c r="AG28" s="2755">
        <f>IF(TITLE_DATE_PR_CHANGE="",IF(TITLE_DATE_PR="","",TITLE_DATE_PR),TITLE_DATE_PR_CHANGE)</f>
        <v>45583</v>
      </c>
      <c r="AH28" s="2755"/>
      <c r="AI28" s="2755"/>
      <c r="AJ28" s="2755"/>
      <c r="AK28" s="2755"/>
      <c r="AL28" s="2755"/>
      <c r="AM28" s="2755"/>
      <c r="AN28" s="2755"/>
      <c r="AO28" s="2755"/>
      <c r="AP28" s="2755"/>
      <c r="AQ28" s="262"/>
      <c r="AR28" s="262"/>
      <c r="AS28" s="216"/>
      <c r="AT28" s="303"/>
      <c r="AU28" s="303"/>
      <c r="AV28" s="303"/>
      <c r="AW28" s="303"/>
      <c r="AX28" s="303"/>
      <c r="AY28" s="353">
        <v>0</v>
      </c>
    </row>
    <row r="29" spans="1:51" s="2529" customFormat="1" ht="18.75" hidden="1" customHeight="1">
      <c r="A29" s="1286"/>
      <c r="B29" s="1286"/>
      <c r="C29" s="1286"/>
      <c r="D29" s="1286"/>
      <c r="E29" s="1286"/>
      <c r="F29" s="1286"/>
      <c r="G29" s="1286"/>
      <c r="H29" s="1286"/>
      <c r="I29" s="1286"/>
      <c r="J29" s="1286"/>
      <c r="K29" s="1286"/>
      <c r="L29" s="1287"/>
      <c r="M29" s="1286"/>
      <c r="N29" s="1286"/>
      <c r="O29" s="1286"/>
      <c r="S29" s="2772" t="s">
        <v>423</v>
      </c>
      <c r="T29" s="2772"/>
      <c r="U29" s="1290"/>
      <c r="V29" s="2754" t="str">
        <f>IF(TITLE_NUMBER_PR_CHANGE="",IF(TITLE_NUMBER_PR="","",TITLE_NUMBER_PR),TITLE_NUMBER_PR_CHANGE)</f>
        <v>18-3341</v>
      </c>
      <c r="W29" s="2754"/>
      <c r="X29" s="2754"/>
      <c r="Y29" s="2754"/>
      <c r="Z29" s="2754"/>
      <c r="AA29" s="2754"/>
      <c r="AB29" s="2754"/>
      <c r="AC29" s="2754"/>
      <c r="AD29" s="2754"/>
      <c r="AE29" s="2754"/>
      <c r="AF29" s="262"/>
      <c r="AG29" s="2754" t="str">
        <f>IF(TITLE_NUMBER_PR_CHANGE="",IF(TITLE_NUMBER_PR="","",TITLE_NUMBER_PR),TITLE_NUMBER_PR_CHANGE)</f>
        <v>18-3341</v>
      </c>
      <c r="AH29" s="2754"/>
      <c r="AI29" s="2754"/>
      <c r="AJ29" s="2754"/>
      <c r="AK29" s="2754"/>
      <c r="AL29" s="2754"/>
      <c r="AM29" s="2754"/>
      <c r="AN29" s="2754"/>
      <c r="AO29" s="2754"/>
      <c r="AP29" s="2754"/>
      <c r="AQ29" s="262"/>
      <c r="AR29" s="262"/>
      <c r="AS29" s="216"/>
      <c r="AT29" s="303"/>
      <c r="AU29" s="303"/>
      <c r="AV29" s="303"/>
      <c r="AW29" s="303"/>
      <c r="AX29" s="303"/>
      <c r="AY29" s="353">
        <v>0</v>
      </c>
    </row>
    <row r="30" spans="1:51" s="2529" customFormat="1" ht="18.75" hidden="1" customHeight="1">
      <c r="A30" s="1286"/>
      <c r="B30" s="1286"/>
      <c r="C30" s="1286"/>
      <c r="D30" s="1286"/>
      <c r="E30" s="1286"/>
      <c r="F30" s="1286"/>
      <c r="G30" s="1286"/>
      <c r="H30" s="1286"/>
      <c r="I30" s="1286"/>
      <c r="J30" s="1286"/>
      <c r="K30" s="1286"/>
      <c r="L30" s="1287"/>
      <c r="M30" s="1286"/>
      <c r="N30" s="1286"/>
      <c r="O30" s="1286"/>
      <c r="S30" s="2772" t="s">
        <v>43</v>
      </c>
      <c r="T30" s="2772"/>
      <c r="U30" s="1290"/>
      <c r="V30" s="2754" t="str">
        <f>IF(TITLE_IST_PUB_CHANGE="",IF(TITLE_IST_PUB="","",TITLE_IST_PUB),TITLE_IST_PUB_CHANGE)</f>
        <v/>
      </c>
      <c r="W30" s="2754"/>
      <c r="X30" s="2754"/>
      <c r="Y30" s="2754"/>
      <c r="Z30" s="2754"/>
      <c r="AA30" s="2754"/>
      <c r="AB30" s="2754"/>
      <c r="AC30" s="2754"/>
      <c r="AD30" s="2754"/>
      <c r="AE30" s="2754"/>
      <c r="AF30" s="262"/>
      <c r="AG30" s="2754" t="str">
        <f>IF(TITLE_IST_PUB_CHANGE="",IF(TITLE_IST_PUB="","",TITLE_IST_PUB),TITLE_IST_PUB_CHANGE)</f>
        <v/>
      </c>
      <c r="AH30" s="2754"/>
      <c r="AI30" s="2754"/>
      <c r="AJ30" s="2754"/>
      <c r="AK30" s="2754"/>
      <c r="AL30" s="2754"/>
      <c r="AM30" s="2754"/>
      <c r="AN30" s="2754"/>
      <c r="AO30" s="2754"/>
      <c r="AP30" s="2754"/>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529" customFormat="1" ht="18.75" customHeight="1">
      <c r="A32" s="1286"/>
      <c r="B32" s="1286"/>
      <c r="C32" s="1286"/>
      <c r="D32" s="1286"/>
      <c r="E32" s="1286"/>
      <c r="F32" s="1286"/>
      <c r="G32" s="1286"/>
      <c r="H32" s="1286"/>
      <c r="I32" s="1286"/>
      <c r="J32" s="1286"/>
      <c r="K32" s="1286"/>
      <c r="L32" s="1287"/>
      <c r="M32" s="1286"/>
      <c r="N32" s="1286"/>
      <c r="O32" s="1286"/>
      <c r="S32" s="2772" t="s">
        <v>424</v>
      </c>
      <c r="T32" s="2772"/>
      <c r="U32" s="1290"/>
      <c r="V32" s="2755">
        <f>IF(TITLE_DATE_PR_CHANGE="",IF(TITLE_DATE_PR="","",TITLE_DATE_PR),TITLE_DATE_PR_CHANGE)</f>
        <v>45583</v>
      </c>
      <c r="W32" s="2755"/>
      <c r="X32" s="2755"/>
      <c r="Y32" s="2755"/>
      <c r="Z32" s="2755"/>
      <c r="AA32" s="2755"/>
      <c r="AB32" s="2755"/>
      <c r="AC32" s="2755"/>
      <c r="AD32" s="2755"/>
      <c r="AE32" s="2755"/>
      <c r="AF32" s="262"/>
      <c r="AG32" s="2755">
        <f>IF(TITLE_DATE_PR_CHANGE="",IF(TITLE_DATE_PR="","",TITLE_DATE_PR),TITLE_DATE_PR_CHANGE)</f>
        <v>45583</v>
      </c>
      <c r="AH32" s="2755"/>
      <c r="AI32" s="2755"/>
      <c r="AJ32" s="2755"/>
      <c r="AK32" s="2755"/>
      <c r="AL32" s="2755"/>
      <c r="AM32" s="2755"/>
      <c r="AN32" s="2755"/>
      <c r="AO32" s="2755"/>
      <c r="AP32" s="2755"/>
      <c r="AQ32" s="262"/>
      <c r="AR32" s="262"/>
      <c r="AS32" s="216"/>
      <c r="AT32" s="303"/>
      <c r="AU32" s="303"/>
      <c r="AV32" s="303"/>
      <c r="AW32" s="303"/>
      <c r="AX32" s="303"/>
      <c r="AY32" s="353">
        <v>0</v>
      </c>
    </row>
    <row r="33" spans="1:51" s="2529" customFormat="1" ht="18.75" customHeight="1">
      <c r="A33" s="1286"/>
      <c r="B33" s="1286"/>
      <c r="C33" s="1286"/>
      <c r="D33" s="1286"/>
      <c r="E33" s="1286"/>
      <c r="F33" s="1286"/>
      <c r="G33" s="1286"/>
      <c r="H33" s="1286"/>
      <c r="I33" s="1286"/>
      <c r="J33" s="1286"/>
      <c r="K33" s="1286"/>
      <c r="L33" s="1287"/>
      <c r="M33" s="1286"/>
      <c r="N33" s="1286"/>
      <c r="O33" s="1286"/>
      <c r="S33" s="2772" t="s">
        <v>425</v>
      </c>
      <c r="T33" s="2772"/>
      <c r="U33" s="1290"/>
      <c r="V33" s="2754" t="str">
        <f>IF(TITLE_NUMBER_PR_CHANGE="",IF(TITLE_NUMBER_PR="","",TITLE_NUMBER_PR),TITLE_NUMBER_PR_CHANGE)</f>
        <v>18-3341</v>
      </c>
      <c r="W33" s="2754"/>
      <c r="X33" s="2754"/>
      <c r="Y33" s="2754"/>
      <c r="Z33" s="2754"/>
      <c r="AA33" s="2754"/>
      <c r="AB33" s="2754"/>
      <c r="AC33" s="2754"/>
      <c r="AD33" s="2754"/>
      <c r="AE33" s="2754"/>
      <c r="AF33" s="262"/>
      <c r="AG33" s="2754" t="str">
        <f>IF(TITLE_NUMBER_PR_CHANGE="",IF(TITLE_NUMBER_PR="","",TITLE_NUMBER_PR),TITLE_NUMBER_PR_CHANGE)</f>
        <v>18-3341</v>
      </c>
      <c r="AH33" s="2754"/>
      <c r="AI33" s="2754"/>
      <c r="AJ33" s="2754"/>
      <c r="AK33" s="2754"/>
      <c r="AL33" s="2754"/>
      <c r="AM33" s="2754"/>
      <c r="AN33" s="2754"/>
      <c r="AO33" s="2754"/>
      <c r="AP33" s="2754"/>
      <c r="AQ33" s="262"/>
      <c r="AR33" s="262"/>
      <c r="AS33" s="216"/>
      <c r="AT33" s="303"/>
      <c r="AU33" s="303"/>
      <c r="AV33" s="303"/>
      <c r="AW33" s="303"/>
      <c r="AX33" s="303"/>
      <c r="AY33" s="353">
        <v>0</v>
      </c>
    </row>
    <row r="34" spans="1:51" s="2529"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426</v>
      </c>
      <c r="AG34" s="262"/>
      <c r="AH34" s="1553"/>
      <c r="AI34" s="1553"/>
      <c r="AJ34" s="1553"/>
      <c r="AK34" s="1553"/>
      <c r="AL34" s="1553"/>
      <c r="AM34" s="262"/>
      <c r="AN34" s="262"/>
      <c r="AO34" s="262"/>
      <c r="AP34" s="262"/>
      <c r="AQ34" s="214" t="s">
        <v>426</v>
      </c>
      <c r="AT34" s="303"/>
      <c r="AU34" s="303"/>
      <c r="AV34" s="303"/>
      <c r="AW34" s="303"/>
      <c r="AX34" s="303"/>
      <c r="AY34" s="353">
        <v>1</v>
      </c>
    </row>
    <row r="35" spans="1:51" ht="14.65" customHeight="1">
      <c r="Q35" s="311"/>
      <c r="R35" s="311"/>
      <c r="S35" s="1193"/>
      <c r="T35" s="298"/>
      <c r="U35" s="1162"/>
      <c r="V35" s="2756"/>
      <c r="W35" s="2756"/>
      <c r="X35" s="2756"/>
      <c r="Y35" s="2756"/>
      <c r="Z35" s="2756"/>
      <c r="AA35" s="2756"/>
      <c r="AB35" s="2756"/>
      <c r="AC35" s="2756"/>
      <c r="AD35" s="2756"/>
      <c r="AE35" s="2756"/>
      <c r="AF35" s="2756"/>
      <c r="AG35" s="2756"/>
      <c r="AH35" s="2756"/>
      <c r="AI35" s="2756"/>
      <c r="AJ35" s="2756"/>
      <c r="AK35" s="2756"/>
      <c r="AL35" s="2756"/>
      <c r="AM35" s="2756"/>
      <c r="AN35" s="2756"/>
      <c r="AO35" s="2756"/>
      <c r="AP35" s="2756"/>
      <c r="AQ35" s="2756"/>
      <c r="AY35" s="1073">
        <v>14</v>
      </c>
    </row>
    <row r="36" spans="1:51" ht="14.65" customHeight="1">
      <c r="Q36" s="311"/>
      <c r="R36" s="311"/>
      <c r="S36" s="2638" t="s">
        <v>302</v>
      </c>
      <c r="T36" s="2638"/>
      <c r="U36" s="2638"/>
      <c r="V36" s="2638"/>
      <c r="W36" s="2638"/>
      <c r="X36" s="2638"/>
      <c r="Y36" s="2638"/>
      <c r="Z36" s="2638"/>
      <c r="AA36" s="2638"/>
      <c r="AB36" s="2638"/>
      <c r="AC36" s="2638"/>
      <c r="AD36" s="2638"/>
      <c r="AE36" s="2638"/>
      <c r="AF36" s="2638"/>
      <c r="AG36" s="2638"/>
      <c r="AH36" s="2638"/>
      <c r="AI36" s="2638"/>
      <c r="AJ36" s="2638"/>
      <c r="AK36" s="2638"/>
      <c r="AL36" s="2638"/>
      <c r="AM36" s="2638"/>
      <c r="AN36" s="2638"/>
      <c r="AO36" s="2638"/>
      <c r="AP36" s="2638"/>
      <c r="AQ36" s="2638"/>
      <c r="AR36" s="2638"/>
      <c r="AS36" s="2638" t="s">
        <v>303</v>
      </c>
      <c r="AY36" s="1073">
        <v>14</v>
      </c>
    </row>
    <row r="37" spans="1:51" ht="14.65" customHeight="1">
      <c r="Q37" s="311"/>
      <c r="R37" s="311"/>
      <c r="S37" s="2782" t="s">
        <v>87</v>
      </c>
      <c r="T37" s="2724" t="s">
        <v>428</v>
      </c>
      <c r="U37" s="237"/>
      <c r="V37" s="2757" t="s">
        <v>429</v>
      </c>
      <c r="W37" s="2758"/>
      <c r="X37" s="2758"/>
      <c r="Y37" s="2758"/>
      <c r="Z37" s="2758"/>
      <c r="AA37" s="2758"/>
      <c r="AB37" s="2758"/>
      <c r="AC37" s="2758"/>
      <c r="AD37" s="2758"/>
      <c r="AE37" s="2759"/>
      <c r="AF37" s="2760" t="s">
        <v>430</v>
      </c>
      <c r="AG37" s="2757" t="s">
        <v>429</v>
      </c>
      <c r="AH37" s="2758"/>
      <c r="AI37" s="2758"/>
      <c r="AJ37" s="2758"/>
      <c r="AK37" s="2758"/>
      <c r="AL37" s="2758"/>
      <c r="AM37" s="2758"/>
      <c r="AN37" s="2758"/>
      <c r="AO37" s="2758"/>
      <c r="AP37" s="2759"/>
      <c r="AQ37" s="2760" t="s">
        <v>431</v>
      </c>
      <c r="AR37" s="2783" t="s">
        <v>432</v>
      </c>
      <c r="AS37" s="2638"/>
      <c r="AY37" s="1073">
        <v>14</v>
      </c>
    </row>
    <row r="38" spans="1:51" s="2513" customFormat="1" ht="19.899999999999999" customHeight="1">
      <c r="A38" s="1284"/>
      <c r="B38" s="1284"/>
      <c r="C38" s="1284"/>
      <c r="D38" s="1284"/>
      <c r="E38" s="1284"/>
      <c r="F38" s="1284"/>
      <c r="G38" s="1284"/>
      <c r="H38" s="1284"/>
      <c r="I38" s="1284"/>
      <c r="J38" s="1284"/>
      <c r="K38" s="1284"/>
      <c r="L38" s="1892"/>
      <c r="M38" s="1280"/>
      <c r="N38" s="1280"/>
      <c r="O38" s="1280"/>
      <c r="P38" s="1893"/>
      <c r="Q38" s="311"/>
      <c r="R38" s="311"/>
      <c r="S38" s="2782"/>
      <c r="T38" s="2724"/>
      <c r="U38" s="953"/>
      <c r="V38" s="2638" t="s">
        <v>534</v>
      </c>
      <c r="W38" s="2848" t="s">
        <v>535</v>
      </c>
      <c r="X38" s="2848"/>
      <c r="Y38" s="2848"/>
      <c r="Z38" s="2848" t="s">
        <v>536</v>
      </c>
      <c r="AA38" s="2848"/>
      <c r="AB38" s="2848"/>
      <c r="AC38" s="2710" t="s">
        <v>436</v>
      </c>
      <c r="AD38" s="2806"/>
      <c r="AE38" s="2711"/>
      <c r="AF38" s="2761"/>
      <c r="AG38" s="2638" t="s">
        <v>534</v>
      </c>
      <c r="AH38" s="2848" t="s">
        <v>535</v>
      </c>
      <c r="AI38" s="2848"/>
      <c r="AJ38" s="2848"/>
      <c r="AK38" s="2848" t="s">
        <v>536</v>
      </c>
      <c r="AL38" s="2848"/>
      <c r="AM38" s="2848"/>
      <c r="AN38" s="2710" t="s">
        <v>436</v>
      </c>
      <c r="AO38" s="2806"/>
      <c r="AP38" s="2711"/>
      <c r="AQ38" s="2761"/>
      <c r="AR38" s="2784"/>
      <c r="AS38" s="2638"/>
      <c r="AT38" s="1554"/>
      <c r="AU38" s="1554"/>
      <c r="AV38" s="1554"/>
      <c r="AW38" s="1554"/>
      <c r="AX38" s="1554"/>
      <c r="AY38" s="1549">
        <v>19</v>
      </c>
    </row>
    <row r="39" spans="1:51" ht="19.899999999999999" customHeight="1">
      <c r="Q39" s="311"/>
      <c r="R39" s="311"/>
      <c r="S39" s="2782"/>
      <c r="T39" s="2724"/>
      <c r="U39" s="953"/>
      <c r="V39" s="2638"/>
      <c r="W39" s="2848" t="s">
        <v>537</v>
      </c>
      <c r="X39" s="2848" t="s">
        <v>538</v>
      </c>
      <c r="Y39" s="2848"/>
      <c r="Z39" s="2848" t="s">
        <v>539</v>
      </c>
      <c r="AA39" s="2848" t="s">
        <v>538</v>
      </c>
      <c r="AB39" s="2848"/>
      <c r="AC39" s="2715"/>
      <c r="AD39" s="2807"/>
      <c r="AE39" s="2716"/>
      <c r="AF39" s="2761"/>
      <c r="AG39" s="2638"/>
      <c r="AH39" s="2848" t="s">
        <v>537</v>
      </c>
      <c r="AI39" s="2848" t="s">
        <v>538</v>
      </c>
      <c r="AJ39" s="2848"/>
      <c r="AK39" s="2848" t="s">
        <v>539</v>
      </c>
      <c r="AL39" s="2848" t="s">
        <v>538</v>
      </c>
      <c r="AM39" s="2848"/>
      <c r="AN39" s="2715"/>
      <c r="AO39" s="2807"/>
      <c r="AP39" s="2716"/>
      <c r="AQ39" s="2761"/>
      <c r="AR39" s="2784"/>
      <c r="AS39" s="2638"/>
      <c r="AY39" s="1073">
        <v>19</v>
      </c>
    </row>
    <row r="40" spans="1:51" ht="61.9" customHeight="1">
      <c r="A40" s="1288"/>
      <c r="B40" s="1288" t="s">
        <v>134</v>
      </c>
      <c r="C40" s="1288" t="s">
        <v>135</v>
      </c>
      <c r="D40" s="1288" t="s">
        <v>136</v>
      </c>
      <c r="E40" s="1282" t="s">
        <v>437</v>
      </c>
      <c r="F40" s="1282" t="s">
        <v>438</v>
      </c>
      <c r="G40" s="1282" t="s">
        <v>439</v>
      </c>
      <c r="H40" s="1282"/>
      <c r="I40" s="1282" t="s">
        <v>492</v>
      </c>
      <c r="J40" s="1282" t="s">
        <v>442</v>
      </c>
      <c r="K40" s="1282" t="s">
        <v>493</v>
      </c>
      <c r="L40" s="1282" t="s">
        <v>417</v>
      </c>
      <c r="Q40" s="311"/>
      <c r="R40" s="311"/>
      <c r="S40" s="2782"/>
      <c r="T40" s="2724"/>
      <c r="U40" s="238"/>
      <c r="V40" s="2638"/>
      <c r="W40" s="2848"/>
      <c r="X40" s="1895" t="s">
        <v>540</v>
      </c>
      <c r="Y40" s="1895" t="s">
        <v>541</v>
      </c>
      <c r="Z40" s="2848"/>
      <c r="AA40" s="1895" t="s">
        <v>542</v>
      </c>
      <c r="AB40" s="1895" t="s">
        <v>543</v>
      </c>
      <c r="AC40" s="1407" t="s">
        <v>446</v>
      </c>
      <c r="AD40" s="2733" t="s">
        <v>447</v>
      </c>
      <c r="AE40" s="2735"/>
      <c r="AF40" s="2762"/>
      <c r="AG40" s="2638"/>
      <c r="AH40" s="2848"/>
      <c r="AI40" s="1895" t="s">
        <v>540</v>
      </c>
      <c r="AJ40" s="1895" t="s">
        <v>541</v>
      </c>
      <c r="AK40" s="2848"/>
      <c r="AL40" s="1895" t="s">
        <v>542</v>
      </c>
      <c r="AM40" s="1895" t="s">
        <v>543</v>
      </c>
      <c r="AN40" s="1407" t="s">
        <v>446</v>
      </c>
      <c r="AO40" s="2733" t="s">
        <v>447</v>
      </c>
      <c r="AP40" s="2735"/>
      <c r="AQ40" s="2762"/>
      <c r="AR40" s="2785"/>
      <c r="AS40" s="2638"/>
      <c r="AY40" s="1073">
        <v>59</v>
      </c>
    </row>
    <row r="41" spans="1:51" s="2544"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108</v>
      </c>
      <c r="T41" s="1173" t="s">
        <v>109</v>
      </c>
      <c r="U41" s="1163" t="str">
        <f ca="1">OFFSET(U41,0,-1)</f>
        <v>2</v>
      </c>
      <c r="V41" s="1400">
        <f ca="1">OFFSET(V41,0,-1)+1</f>
        <v>3</v>
      </c>
      <c r="W41" s="1891"/>
      <c r="X41" s="1891"/>
      <c r="Y41" s="1891"/>
      <c r="Z41" s="1891"/>
      <c r="AA41" s="1891"/>
      <c r="AB41" s="1400">
        <f ca="1">OFFSET(AB41,0,-1)+1</f>
        <v>1</v>
      </c>
      <c r="AC41" s="1400">
        <f ca="1">OFFSET(AC41,0,-1)+1</f>
        <v>2</v>
      </c>
      <c r="AD41" s="2765">
        <f ca="1">OFFSET(AD41,0,-1)+1</f>
        <v>3</v>
      </c>
      <c r="AE41" s="2765"/>
      <c r="AF41" s="1400">
        <f ca="1">OFFSET(AF41,0,-2)+1</f>
        <v>4</v>
      </c>
      <c r="AG41" s="1400">
        <f ca="1">OFFSET(AG41,0,-1)+1</f>
        <v>5</v>
      </c>
      <c r="AH41" s="1891"/>
      <c r="AI41" s="1891"/>
      <c r="AJ41" s="1891"/>
      <c r="AK41" s="1891"/>
      <c r="AL41" s="1891"/>
      <c r="AM41" s="1400">
        <f ca="1">OFFSET(AM41,0,-1)+1</f>
        <v>1</v>
      </c>
      <c r="AN41" s="1400">
        <f ca="1">OFFSET(AN41,0,-1)+1</f>
        <v>2</v>
      </c>
      <c r="AO41" s="2765">
        <f ca="1">OFFSET(AO41,0,-1)+1</f>
        <v>3</v>
      </c>
      <c r="AP41" s="2765"/>
      <c r="AQ41" s="1400">
        <f ca="1">OFFSET(AQ41,0,-2)+1</f>
        <v>4</v>
      </c>
      <c r="AR41" s="1163">
        <f ca="1">OFFSET(AR41,0,-1)</f>
        <v>4</v>
      </c>
      <c r="AS41" s="1400">
        <f ca="1">OFFSET(AS41,0,-1)+1</f>
        <v>5</v>
      </c>
      <c r="AT41" s="446"/>
      <c r="AU41" s="446"/>
      <c r="AV41" s="446"/>
      <c r="AW41" s="446"/>
      <c r="AX41" s="446"/>
      <c r="AY41" s="431">
        <v>0</v>
      </c>
    </row>
    <row r="42" spans="1:51" ht="24" customHeight="1">
      <c r="A42" s="1281" t="s">
        <v>258</v>
      </c>
      <c r="B42" s="1281"/>
      <c r="C42" s="1281"/>
      <c r="D42" s="1281"/>
      <c r="E42" s="2778">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122</v>
      </c>
      <c r="U42" s="236"/>
      <c r="V42" s="2766"/>
      <c r="W42" s="2767"/>
      <c r="X42" s="2767"/>
      <c r="Y42" s="2767"/>
      <c r="Z42" s="2767"/>
      <c r="AA42" s="2767"/>
      <c r="AB42" s="2767"/>
      <c r="AC42" s="2767"/>
      <c r="AD42" s="2767"/>
      <c r="AE42" s="2767"/>
      <c r="AF42" s="2768"/>
      <c r="AG42" s="2766" t="str">
        <f>INDEX(PT_DIFFERENTIATION_NTAR,MATCH(A42,PT_DIFFERENTIATION_NTAR_ID,0))</f>
        <v/>
      </c>
      <c r="AH42" s="2767"/>
      <c r="AI42" s="2767"/>
      <c r="AJ42" s="2767"/>
      <c r="AK42" s="2767"/>
      <c r="AL42" s="2767"/>
      <c r="AM42" s="2767"/>
      <c r="AN42" s="2767"/>
      <c r="AO42" s="2767"/>
      <c r="AP42" s="2767"/>
      <c r="AQ42" s="2767"/>
      <c r="AR42" s="2768"/>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258</v>
      </c>
      <c r="B43" s="1281" t="s">
        <v>259</v>
      </c>
      <c r="C43" s="1281"/>
      <c r="D43" s="1281"/>
      <c r="E43" s="2779"/>
      <c r="F43" s="2778">
        <v>1</v>
      </c>
      <c r="G43" s="1281"/>
      <c r="H43" s="1281"/>
      <c r="I43" s="1281"/>
      <c r="J43" s="1281"/>
      <c r="K43" s="1281"/>
      <c r="L43" s="1282"/>
      <c r="M43" s="1283"/>
      <c r="N43" s="1283"/>
      <c r="O43" s="1283"/>
      <c r="P43" s="1405"/>
      <c r="Q43" s="287"/>
      <c r="R43" s="288"/>
      <c r="S43" s="1411" t="str">
        <f>INDEX(PT_DIFFERENTIATION_NUM_TER,MATCH(B43,PT_DIFFERENTIATION_TER_ID,0))</f>
        <v>.</v>
      </c>
      <c r="T43" s="244" t="s">
        <v>399</v>
      </c>
      <c r="U43" s="236"/>
      <c r="V43" s="2766"/>
      <c r="W43" s="2767"/>
      <c r="X43" s="2767"/>
      <c r="Y43" s="2767"/>
      <c r="Z43" s="2767"/>
      <c r="AA43" s="2767"/>
      <c r="AB43" s="2767"/>
      <c r="AC43" s="2767"/>
      <c r="AD43" s="2767"/>
      <c r="AE43" s="2767"/>
      <c r="AF43" s="2768"/>
      <c r="AG43" s="2766" t="str">
        <f>INDEX(PT_DIFFERENTIATION_TER,MATCH(B43,PT_DIFFERENTIATION_TER_ID,0))</f>
        <v/>
      </c>
      <c r="AH43" s="2767"/>
      <c r="AI43" s="2767"/>
      <c r="AJ43" s="2767"/>
      <c r="AK43" s="2767"/>
      <c r="AL43" s="2767"/>
      <c r="AM43" s="2767"/>
      <c r="AN43" s="2767"/>
      <c r="AO43" s="2767"/>
      <c r="AP43" s="2767"/>
      <c r="AQ43" s="2767"/>
      <c r="AR43" s="2768"/>
      <c r="AS43" s="1176" t="s">
        <v>400</v>
      </c>
      <c r="AU43" s="435"/>
      <c r="AV43" s="435" t="str">
        <f t="shared" si="1"/>
        <v>Территория действия тарифа</v>
      </c>
      <c r="AW43" s="435"/>
      <c r="AX43" s="435"/>
      <c r="AY43" s="1073">
        <v>23</v>
      </c>
    </row>
    <row r="44" spans="1:51" ht="24" customHeight="1">
      <c r="A44" s="1281" t="s">
        <v>258</v>
      </c>
      <c r="B44" s="1281" t="s">
        <v>259</v>
      </c>
      <c r="C44" s="1281" t="s">
        <v>260</v>
      </c>
      <c r="D44" s="1281"/>
      <c r="E44" s="2779"/>
      <c r="F44" s="2779"/>
      <c r="G44" s="2778">
        <v>1</v>
      </c>
      <c r="H44" s="1281"/>
      <c r="I44" s="1281"/>
      <c r="J44" s="1281"/>
      <c r="K44" s="1281"/>
      <c r="L44" s="1282"/>
      <c r="M44" s="1283"/>
      <c r="N44" s="1283"/>
      <c r="O44" s="1283"/>
      <c r="P44" s="289"/>
      <c r="Q44" s="287"/>
      <c r="R44" s="288"/>
      <c r="S44" s="1411" t="str">
        <f>INDEX(PT_DIFFERENTIATION_NUM_CS,MATCH(C44,PT_DIFFERENTIATION_CS_ID,0))</f>
        <v>..</v>
      </c>
      <c r="T44" s="245" t="s">
        <v>532</v>
      </c>
      <c r="U44" s="236"/>
      <c r="V44" s="2766"/>
      <c r="W44" s="2767"/>
      <c r="X44" s="2767"/>
      <c r="Y44" s="2767"/>
      <c r="Z44" s="2767"/>
      <c r="AA44" s="2767"/>
      <c r="AB44" s="2767"/>
      <c r="AC44" s="2767"/>
      <c r="AD44" s="2767"/>
      <c r="AE44" s="2767"/>
      <c r="AF44" s="2768"/>
      <c r="AG44" s="2766" t="str">
        <f>INDEX(PT_DIFFERENTIATION_CS,MATCH(C44,PT_DIFFERENTIATION_CS_ID,0))</f>
        <v/>
      </c>
      <c r="AH44" s="2767"/>
      <c r="AI44" s="2767"/>
      <c r="AJ44" s="2767"/>
      <c r="AK44" s="2767"/>
      <c r="AL44" s="2767"/>
      <c r="AM44" s="2767"/>
      <c r="AN44" s="2767"/>
      <c r="AO44" s="2767"/>
      <c r="AP44" s="2767"/>
      <c r="AQ44" s="2767"/>
      <c r="AR44" s="2768"/>
      <c r="AS44" s="1176" t="s">
        <v>533</v>
      </c>
      <c r="AU44" s="435"/>
      <c r="AV44" s="435" t="str">
        <f t="shared" si="1"/>
        <v>Наименование централизованной системы горячего водоснабжения</v>
      </c>
      <c r="AW44" s="435"/>
      <c r="AX44" s="435"/>
      <c r="AY44" s="1073">
        <v>23</v>
      </c>
    </row>
    <row r="45" spans="1:51" ht="24" customHeight="1">
      <c r="A45" s="1281" t="s">
        <v>258</v>
      </c>
      <c r="B45" s="1281" t="s">
        <v>259</v>
      </c>
      <c r="C45" s="1281" t="s">
        <v>260</v>
      </c>
      <c r="D45" s="1281" t="s">
        <v>545</v>
      </c>
      <c r="E45" s="2779"/>
      <c r="F45" s="2779"/>
      <c r="G45" s="2779"/>
      <c r="H45" s="2779"/>
      <c r="I45" s="2776" t="str">
        <f>S44&amp;".1"</f>
        <v>...1</v>
      </c>
      <c r="J45" s="1281"/>
      <c r="K45" s="1281"/>
      <c r="L45" s="1282"/>
      <c r="P45" s="2777">
        <v>1</v>
      </c>
      <c r="Q45" s="1399"/>
      <c r="R45" s="291"/>
      <c r="S45" s="1411" t="str">
        <f>$I45</f>
        <v>...1</v>
      </c>
      <c r="T45" s="221" t="s">
        <v>485</v>
      </c>
      <c r="U45" s="236"/>
      <c r="V45" s="2833"/>
      <c r="W45" s="2834"/>
      <c r="X45" s="2834"/>
      <c r="Y45" s="2834"/>
      <c r="Z45" s="2834"/>
      <c r="AA45" s="2834"/>
      <c r="AB45" s="2834"/>
      <c r="AC45" s="2834"/>
      <c r="AD45" s="2834"/>
      <c r="AE45" s="2834"/>
      <c r="AF45" s="2835"/>
      <c r="AG45" s="2836"/>
      <c r="AH45" s="2837"/>
      <c r="AI45" s="2837"/>
      <c r="AJ45" s="2837"/>
      <c r="AK45" s="2837"/>
      <c r="AL45" s="2837"/>
      <c r="AM45" s="2837"/>
      <c r="AN45" s="2837"/>
      <c r="AO45" s="2837"/>
      <c r="AP45" s="2837"/>
      <c r="AQ45" s="2837"/>
      <c r="AR45" s="2838"/>
      <c r="AS45" s="1176" t="s">
        <v>486</v>
      </c>
      <c r="AU45" s="435"/>
      <c r="AV45" s="435" t="str">
        <f t="shared" si="1"/>
        <v>Наименование признака дифференциации</v>
      </c>
      <c r="AW45" s="435"/>
      <c r="AX45" s="435"/>
      <c r="AY45" s="1073">
        <v>23</v>
      </c>
    </row>
    <row r="46" spans="1:51" ht="24" customHeight="1">
      <c r="A46" s="1281" t="s">
        <v>258</v>
      </c>
      <c r="B46" s="1281" t="s">
        <v>259</v>
      </c>
      <c r="C46" s="1281" t="s">
        <v>260</v>
      </c>
      <c r="D46" s="1281" t="s">
        <v>545</v>
      </c>
      <c r="E46" s="2779"/>
      <c r="F46" s="2779"/>
      <c r="G46" s="2779"/>
      <c r="H46" s="2779"/>
      <c r="I46" s="2787"/>
      <c r="J46" s="2776" t="str">
        <f>I45&amp;".1"</f>
        <v>...1.1</v>
      </c>
      <c r="K46" s="1281"/>
      <c r="L46" s="1282" t="s">
        <v>408</v>
      </c>
      <c r="P46" s="2777"/>
      <c r="Q46" s="2777">
        <v>1</v>
      </c>
      <c r="R46" s="292"/>
      <c r="S46" s="1411" t="str">
        <f>$J46</f>
        <v>...1.1</v>
      </c>
      <c r="T46" s="222" t="s">
        <v>409</v>
      </c>
      <c r="U46" s="236"/>
      <c r="V46" s="2769"/>
      <c r="W46" s="2770"/>
      <c r="X46" s="2770"/>
      <c r="Y46" s="2770"/>
      <c r="Z46" s="2770"/>
      <c r="AA46" s="2770"/>
      <c r="AB46" s="2770"/>
      <c r="AC46" s="2770"/>
      <c r="AD46" s="2770"/>
      <c r="AE46" s="2770"/>
      <c r="AF46" s="2771"/>
      <c r="AG46" s="2769"/>
      <c r="AH46" s="2770"/>
      <c r="AI46" s="2770"/>
      <c r="AJ46" s="2770"/>
      <c r="AK46" s="2770"/>
      <c r="AL46" s="2770"/>
      <c r="AM46" s="2770"/>
      <c r="AN46" s="2770"/>
      <c r="AO46" s="2770"/>
      <c r="AP46" s="2770"/>
      <c r="AQ46" s="2770"/>
      <c r="AR46" s="2771"/>
      <c r="AS46" s="1225" t="s">
        <v>487</v>
      </c>
      <c r="AU46" s="435"/>
      <c r="AV46" s="435" t="str">
        <f t="shared" si="1"/>
        <v>Группа потребителей</v>
      </c>
      <c r="AW46" s="435"/>
      <c r="AX46" s="435"/>
      <c r="AY46" s="1073">
        <v>23</v>
      </c>
    </row>
    <row r="47" spans="1:51" ht="24" customHeight="1">
      <c r="A47" s="1281" t="s">
        <v>258</v>
      </c>
      <c r="B47" s="1281" t="s">
        <v>259</v>
      </c>
      <c r="C47" s="1281" t="s">
        <v>260</v>
      </c>
      <c r="D47" s="1281" t="s">
        <v>545</v>
      </c>
      <c r="E47" s="2779"/>
      <c r="F47" s="2779"/>
      <c r="G47" s="2779"/>
      <c r="H47" s="2779"/>
      <c r="I47" s="2787"/>
      <c r="J47" s="2787"/>
      <c r="K47" s="2776" t="str">
        <f>J46&amp;".1"</f>
        <v>...1.1.1</v>
      </c>
      <c r="L47" s="1282"/>
      <c r="P47" s="2777"/>
      <c r="Q47" s="2777"/>
      <c r="R47" s="292">
        <v>1</v>
      </c>
      <c r="S47" s="1411" t="str">
        <f>$K47</f>
        <v>...1.1.1</v>
      </c>
      <c r="T47" s="1355"/>
      <c r="U47" s="236"/>
      <c r="V47" s="1278"/>
      <c r="W47" s="1278"/>
      <c r="X47" s="1278"/>
      <c r="Y47" s="1278"/>
      <c r="Z47" s="1278"/>
      <c r="AA47" s="1278"/>
      <c r="AB47" s="1279"/>
      <c r="AC47" s="2780"/>
      <c r="AD47" s="2781" t="s">
        <v>66</v>
      </c>
      <c r="AE47" s="2780"/>
      <c r="AF47" s="2781" t="s">
        <v>66</v>
      </c>
      <c r="AG47" s="686"/>
      <c r="AH47" s="686"/>
      <c r="AI47" s="686"/>
      <c r="AJ47" s="686"/>
      <c r="AK47" s="686"/>
      <c r="AL47" s="686"/>
      <c r="AM47" s="1175"/>
      <c r="AN47" s="2753"/>
      <c r="AO47" s="2619" t="s">
        <v>66</v>
      </c>
      <c r="AP47" s="2788"/>
      <c r="AQ47" s="2619" t="s">
        <v>19</v>
      </c>
      <c r="AR47" s="1356"/>
      <c r="AS47" s="28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258</v>
      </c>
      <c r="B48" s="1281" t="s">
        <v>259</v>
      </c>
      <c r="C48" s="1281" t="s">
        <v>260</v>
      </c>
      <c r="D48" s="1281" t="s">
        <v>545</v>
      </c>
      <c r="E48" s="2779"/>
      <c r="F48" s="2779"/>
      <c r="G48" s="2779"/>
      <c r="H48" s="2779"/>
      <c r="I48" s="2787"/>
      <c r="J48" s="2787"/>
      <c r="K48" s="2776"/>
      <c r="L48" s="1282"/>
      <c r="P48" s="2777"/>
      <c r="Q48" s="2777"/>
      <c r="R48" s="292"/>
      <c r="S48" s="1408"/>
      <c r="T48" s="236"/>
      <c r="U48" s="236"/>
      <c r="V48" s="1278"/>
      <c r="W48" s="1278"/>
      <c r="X48" s="1278"/>
      <c r="Y48" s="1278"/>
      <c r="Z48" s="1278"/>
      <c r="AA48" s="1278"/>
      <c r="AB48" s="264" t="str">
        <f>AC47&amp;"-"&amp;AE47</f>
        <v>-</v>
      </c>
      <c r="AC48" s="2781"/>
      <c r="AD48" s="2781"/>
      <c r="AE48" s="2781"/>
      <c r="AF48" s="2781"/>
      <c r="AG48" s="261"/>
      <c r="AH48" s="261"/>
      <c r="AI48" s="261"/>
      <c r="AJ48" s="261"/>
      <c r="AK48" s="261"/>
      <c r="AL48" s="261"/>
      <c r="AM48" s="264" t="str">
        <f>AN47&amp;"-"&amp;AP47</f>
        <v>-</v>
      </c>
      <c r="AN48" s="2752"/>
      <c r="AO48" s="2619"/>
      <c r="AP48" s="2789"/>
      <c r="AQ48" s="2619"/>
      <c r="AR48" s="1357"/>
      <c r="AS48" s="2832"/>
      <c r="AU48" s="435"/>
      <c r="AV48" s="435" t="str">
        <f t="shared" si="1"/>
        <v/>
      </c>
      <c r="AW48" s="435"/>
      <c r="AX48" s="435"/>
      <c r="AY48" s="1073">
        <v>0</v>
      </c>
    </row>
    <row r="49" spans="1:51" ht="21" customHeight="1">
      <c r="A49" s="1281" t="s">
        <v>258</v>
      </c>
      <c r="B49" s="1281" t="s">
        <v>259</v>
      </c>
      <c r="C49" s="1281" t="s">
        <v>260</v>
      </c>
      <c r="D49" s="1281" t="s">
        <v>545</v>
      </c>
      <c r="E49" s="2779"/>
      <c r="F49" s="2779"/>
      <c r="G49" s="2779"/>
      <c r="H49" s="2779"/>
      <c r="I49" s="2787"/>
      <c r="J49" s="2776"/>
      <c r="K49" s="1281"/>
      <c r="L49" s="1282"/>
      <c r="P49" s="2777"/>
      <c r="Q49" s="2777"/>
      <c r="R49" s="291"/>
      <c r="S49" s="1196"/>
      <c r="T49" s="223" t="s">
        <v>488</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489</v>
      </c>
      <c r="AU49" s="435"/>
      <c r="AV49" s="435" t="str">
        <f t="shared" si="1"/>
        <v>Добавить значение признака дифференциации</v>
      </c>
      <c r="AW49" s="435"/>
      <c r="AX49" s="435"/>
      <c r="AY49" s="1073">
        <v>20</v>
      </c>
    </row>
    <row r="50" spans="1:51" ht="21.95" customHeight="1">
      <c r="A50" s="1281" t="s">
        <v>258</v>
      </c>
      <c r="B50" s="1281" t="s">
        <v>259</v>
      </c>
      <c r="C50" s="1281" t="s">
        <v>260</v>
      </c>
      <c r="D50" s="1281" t="s">
        <v>545</v>
      </c>
      <c r="E50" s="2779"/>
      <c r="F50" s="2779"/>
      <c r="G50" s="2779"/>
      <c r="H50" s="2779"/>
      <c r="I50" s="2776"/>
      <c r="J50" s="1281"/>
      <c r="K50" s="1281"/>
      <c r="L50" s="1282"/>
      <c r="P50" s="2777"/>
      <c r="Q50" s="1399"/>
      <c r="R50" s="291"/>
      <c r="S50" s="1196"/>
      <c r="T50" s="300" t="s">
        <v>414</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258</v>
      </c>
      <c r="B51" s="1281" t="s">
        <v>259</v>
      </c>
      <c r="C51" s="1281" t="s">
        <v>260</v>
      </c>
      <c r="D51" s="1281" t="s">
        <v>545</v>
      </c>
      <c r="E51" s="2779"/>
      <c r="F51" s="2779"/>
      <c r="G51" s="2779"/>
      <c r="H51" s="2778"/>
      <c r="I51" s="1281"/>
      <c r="J51" s="1281"/>
      <c r="K51" s="1281"/>
      <c r="L51" s="1282"/>
      <c r="M51" s="1283"/>
      <c r="N51" s="1283"/>
      <c r="O51" s="472"/>
      <c r="P51" s="295"/>
      <c r="Q51" s="310"/>
      <c r="R51" s="290"/>
      <c r="S51" s="1196"/>
      <c r="T51" s="307" t="s">
        <v>490</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520" customFormat="1" ht="0" hidden="1" customHeight="1">
      <c r="A52" s="1261" t="s">
        <v>258</v>
      </c>
      <c r="B52" s="1261" t="s">
        <v>259</v>
      </c>
      <c r="C52" s="1232"/>
      <c r="D52" s="1232"/>
      <c r="E52" s="2779"/>
      <c r="F52" s="2778"/>
      <c r="G52" s="1232"/>
      <c r="H52" s="1232"/>
      <c r="I52" s="1232"/>
      <c r="J52" s="1232"/>
      <c r="K52" s="1232"/>
      <c r="L52" s="1412"/>
      <c r="M52" s="1239"/>
      <c r="N52" s="1239"/>
      <c r="P52" s="1234"/>
      <c r="Q52" s="1235"/>
      <c r="R52" s="1234"/>
      <c r="S52" s="1240"/>
      <c r="T52" s="1243" t="s">
        <v>161</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520" customFormat="1" ht="0" hidden="1" customHeight="1">
      <c r="A53" s="1261" t="s">
        <v>258</v>
      </c>
      <c r="B53" s="1261"/>
      <c r="C53" s="1261"/>
      <c r="D53" s="1261"/>
      <c r="E53" s="2778"/>
      <c r="F53" s="1261"/>
      <c r="G53" s="1261"/>
      <c r="H53" s="1261"/>
      <c r="I53" s="1261"/>
      <c r="J53" s="1261"/>
      <c r="K53" s="1261"/>
      <c r="L53" s="1264"/>
      <c r="M53" s="1239"/>
      <c r="N53" s="1239"/>
      <c r="O53" s="453"/>
      <c r="P53" s="315"/>
      <c r="Q53" s="1262"/>
      <c r="R53" s="315"/>
      <c r="S53" s="1240"/>
      <c r="T53" s="1243" t="s">
        <v>162</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520"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163</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786"/>
      <c r="U56" s="2786"/>
      <c r="V56" s="2786"/>
      <c r="W56" s="2786"/>
      <c r="X56" s="2786"/>
      <c r="Y56" s="2786"/>
      <c r="Z56" s="2786"/>
      <c r="AA56" s="2786"/>
      <c r="AB56" s="2786"/>
      <c r="AC56" s="2786"/>
      <c r="AD56" s="2786"/>
      <c r="AE56" s="2786"/>
      <c r="AF56" s="2786"/>
      <c r="AG56" s="2786"/>
      <c r="AH56" s="2786"/>
      <c r="AI56" s="2786"/>
      <c r="AJ56" s="2786"/>
      <c r="AK56" s="2786"/>
      <c r="AL56" s="2786"/>
      <c r="AM56" s="2786"/>
      <c r="AN56" s="2786"/>
      <c r="AO56" s="2786"/>
      <c r="AP56" s="2786"/>
      <c r="AQ56" s="2786"/>
      <c r="AR56" s="2786"/>
      <c r="AS56" s="2786"/>
      <c r="AY56" s="1073">
        <v>14</v>
      </c>
    </row>
    <row r="57" spans="1:51" ht="14.65" customHeight="1">
      <c r="O57" s="472"/>
      <c r="AY57" s="1073">
        <v>14</v>
      </c>
    </row>
    <row r="58" spans="1:51" ht="14.65" customHeight="1">
      <c r="O58" s="472"/>
      <c r="S58" s="1171"/>
      <c r="T58" s="2786"/>
      <c r="U58" s="2786"/>
      <c r="V58" s="2786"/>
      <c r="W58" s="2786"/>
      <c r="X58" s="2786"/>
      <c r="Y58" s="2786"/>
      <c r="Z58" s="2786"/>
      <c r="AA58" s="2786"/>
      <c r="AB58" s="2786"/>
      <c r="AC58" s="2786"/>
      <c r="AD58" s="2786"/>
      <c r="AE58" s="2786"/>
      <c r="AF58" s="2786"/>
      <c r="AG58" s="2786"/>
      <c r="AH58" s="2786"/>
      <c r="AI58" s="2786"/>
      <c r="AJ58" s="2786"/>
      <c r="AK58" s="2786"/>
      <c r="AL58" s="2786"/>
      <c r="AM58" s="2786"/>
      <c r="AN58" s="2786"/>
      <c r="AO58" s="2786"/>
      <c r="AP58" s="2786"/>
      <c r="AQ58" s="2786"/>
      <c r="AR58" s="2786"/>
      <c r="AS58" s="2786"/>
      <c r="AY58" s="1073">
        <v>14</v>
      </c>
    </row>
    <row r="59" spans="1:51" ht="22.5" hidden="1" customHeight="1">
      <c r="A59" s="1078" t="s">
        <v>81</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519" hidden="1" customWidth="1"/>
    <col min="2" max="2" width="11" style="2519" hidden="1" customWidth="1"/>
    <col min="3" max="3" width="10.5703125" style="2519" hidden="1"/>
    <col min="4" max="4" width="12.85546875" style="2519" hidden="1" customWidth="1"/>
    <col min="5" max="5" width="10" style="2519" hidden="1" customWidth="1"/>
    <col min="6" max="6" width="8.7109375" style="2519" hidden="1" customWidth="1"/>
    <col min="7" max="7" width="7.5703125" style="2519" hidden="1" customWidth="1"/>
    <col min="8" max="8" width="11.42578125" style="2519" hidden="1" customWidth="1"/>
    <col min="9" max="9" width="12" style="2519" hidden="1" customWidth="1"/>
    <col min="10" max="10" width="9.85546875" style="2519" hidden="1" customWidth="1"/>
    <col min="11" max="11" width="11.42578125" style="2519" hidden="1" customWidth="1"/>
    <col min="12" max="12" width="19.140625" style="2545" hidden="1" customWidth="1"/>
    <col min="13" max="14" width="12.28515625" style="2546" hidden="1" customWidth="1"/>
    <col min="15" max="15" width="23.42578125" style="2546" hidden="1" customWidth="1"/>
    <col min="16" max="16" width="3.7109375" style="2546" hidden="1" customWidth="1"/>
    <col min="17" max="17" width="3.7109375" style="2552" hidden="1" customWidth="1"/>
    <col min="18" max="18" width="3" style="2548" customWidth="1"/>
    <col min="19" max="19" width="12" style="2549" customWidth="1"/>
    <col min="20" max="20" width="31" style="2513" customWidth="1"/>
    <col min="21" max="21" width="0.140625" style="2513" customWidth="1"/>
    <col min="22" max="25" width="21.7109375" style="2513" hidden="1" customWidth="1"/>
    <col min="26" max="26" width="11.7109375" style="2513" hidden="1" customWidth="1"/>
    <col min="27" max="27" width="3.7109375" style="2513" hidden="1" customWidth="1"/>
    <col min="28" max="28" width="11.7109375" style="2513" hidden="1" customWidth="1"/>
    <col min="29" max="29" width="8.5703125" style="2513" hidden="1" customWidth="1"/>
    <col min="30" max="30" width="3.7109375" style="2513" customWidth="1"/>
    <col min="31" max="32" width="3" style="2513" customWidth="1"/>
    <col min="33" max="33" width="24" style="2513" customWidth="1"/>
    <col min="34" max="34" width="3.7109375" style="2513" customWidth="1"/>
    <col min="35" max="36" width="3" style="2513" customWidth="1"/>
    <col min="37" max="37" width="24" style="2513" customWidth="1"/>
    <col min="38" max="38" width="3.7109375" style="2513" customWidth="1"/>
    <col min="39" max="40" width="3" style="2513" customWidth="1"/>
    <col min="41" max="41" width="18" style="2513" customWidth="1"/>
    <col min="42" max="42" width="3.7109375" style="2513" customWidth="1"/>
    <col min="43" max="44" width="3" style="2513" customWidth="1"/>
    <col min="45" max="45" width="18" style="2513" customWidth="1"/>
    <col min="46" max="49" width="21" style="2513" customWidth="1"/>
    <col min="50" max="50" width="11" style="2513" customWidth="1"/>
    <col min="51" max="51" width="3.7109375" style="2513" customWidth="1"/>
    <col min="52" max="52" width="11" style="2513" customWidth="1"/>
    <col min="53" max="53" width="8.5703125" style="2513" hidden="1" customWidth="1"/>
    <col min="54" max="54" width="4" style="2513" customWidth="1"/>
    <col min="55" max="55" width="115" style="2513" customWidth="1"/>
    <col min="56" max="60" width="10" style="2520" customWidth="1"/>
    <col min="61" max="61" width="10.5703125" style="2513" hidden="1"/>
  </cols>
  <sheetData>
    <row r="1" spans="1:61" ht="22.5" hidden="1" customHeight="1">
      <c r="W1" s="263"/>
      <c r="Y1" s="263"/>
      <c r="Z1" s="263"/>
      <c r="AW1" s="263"/>
      <c r="AX1" s="263"/>
      <c r="BI1" s="1073" t="s">
        <v>14</v>
      </c>
    </row>
    <row r="2" spans="1:61" ht="21" hidden="1" customHeight="1">
      <c r="A2" s="1281"/>
      <c r="B2" s="1281"/>
      <c r="C2" s="1281"/>
      <c r="D2" s="1281"/>
      <c r="E2" s="2778">
        <v>1</v>
      </c>
      <c r="F2" s="1281"/>
      <c r="G2" s="1281"/>
      <c r="H2" s="1281"/>
      <c r="I2" s="1281"/>
      <c r="J2" s="1281"/>
      <c r="K2" s="1281"/>
      <c r="L2" s="1282"/>
      <c r="M2" s="1283"/>
      <c r="N2" s="1283"/>
      <c r="O2" s="1283"/>
      <c r="P2" s="1327"/>
      <c r="Q2" s="798"/>
      <c r="R2" s="290"/>
      <c r="S2" s="1411" t="e">
        <f>INDEX(PT_DIFFERENTIATION_NUM_NTAR,MATCH(A2,PT_DIFFERENTIATION_NTAR_ID,0))</f>
        <v>#N/A</v>
      </c>
      <c r="T2" s="234" t="s">
        <v>122</v>
      </c>
      <c r="U2" s="236"/>
      <c r="V2" s="2767"/>
      <c r="W2" s="2767"/>
      <c r="X2" s="2767"/>
      <c r="Y2" s="2767"/>
      <c r="Z2" s="2767"/>
      <c r="AA2" s="2767"/>
      <c r="AB2" s="2767"/>
      <c r="AC2" s="2768"/>
      <c r="AD2" s="2766" t="e">
        <f>INDEX(PT_DIFFERENTIATION_NTAR,MATCH(A2,PT_DIFFERENTIATION_NTAR_ID,0))</f>
        <v>#N/A</v>
      </c>
      <c r="AE2" s="2767"/>
      <c r="AF2" s="2767"/>
      <c r="AG2" s="2767"/>
      <c r="AH2" s="2767"/>
      <c r="AI2" s="2767"/>
      <c r="AJ2" s="2767"/>
      <c r="AK2" s="2767"/>
      <c r="AL2" s="2767"/>
      <c r="AM2" s="2767"/>
      <c r="AN2" s="2767"/>
      <c r="AO2" s="2767"/>
      <c r="AP2" s="2767"/>
      <c r="AQ2" s="2767"/>
      <c r="AR2" s="2767"/>
      <c r="AS2" s="2767"/>
      <c r="AT2" s="2767"/>
      <c r="AU2" s="2767"/>
      <c r="AV2" s="2767"/>
      <c r="AW2" s="2767"/>
      <c r="AX2" s="2767"/>
      <c r="AY2" s="2767"/>
      <c r="AZ2" s="2767"/>
      <c r="BA2" s="2767"/>
      <c r="BB2" s="276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779"/>
      <c r="F3" s="2778">
        <v>1</v>
      </c>
      <c r="G3" s="1281"/>
      <c r="H3" s="1281"/>
      <c r="I3" s="1281"/>
      <c r="J3" s="1281"/>
      <c r="K3" s="1281"/>
      <c r="L3" s="1282"/>
      <c r="M3" s="1283"/>
      <c r="N3" s="1283"/>
      <c r="O3" s="1283"/>
      <c r="P3" s="1328"/>
      <c r="Q3" s="1329"/>
      <c r="R3" s="288"/>
      <c r="S3" s="1411" t="e">
        <f>INDEX(PT_DIFFERENTIATION_NUM_TER,MATCH(B3,PT_DIFFERENTIATION_TER_ID,0))</f>
        <v>#N/A</v>
      </c>
      <c r="T3" s="244" t="s">
        <v>399</v>
      </c>
      <c r="U3" s="236"/>
      <c r="V3" s="2767"/>
      <c r="W3" s="2767"/>
      <c r="X3" s="2767"/>
      <c r="Y3" s="2767"/>
      <c r="Z3" s="2767"/>
      <c r="AA3" s="2767"/>
      <c r="AB3" s="2767"/>
      <c r="AC3" s="2768"/>
      <c r="AD3" s="2766" t="e">
        <f>INDEX(PT_DIFFERENTIATION_TER,MATCH(B3,PT_DIFFERENTIATION_TER_ID,0))</f>
        <v>#N/A</v>
      </c>
      <c r="AE3" s="2767"/>
      <c r="AF3" s="2767"/>
      <c r="AG3" s="2767"/>
      <c r="AH3" s="2767"/>
      <c r="AI3" s="2767"/>
      <c r="AJ3" s="2767"/>
      <c r="AK3" s="2767"/>
      <c r="AL3" s="2767"/>
      <c r="AM3" s="2767"/>
      <c r="AN3" s="2767"/>
      <c r="AO3" s="2767"/>
      <c r="AP3" s="2767"/>
      <c r="AQ3" s="2767"/>
      <c r="AR3" s="2767"/>
      <c r="AS3" s="2767"/>
      <c r="AT3" s="2767"/>
      <c r="AU3" s="2767"/>
      <c r="AV3" s="2767"/>
      <c r="AW3" s="2767"/>
      <c r="AX3" s="2767"/>
      <c r="AY3" s="2767"/>
      <c r="AZ3" s="2767"/>
      <c r="BA3" s="2767"/>
      <c r="BB3" s="2768"/>
      <c r="BC3" s="1176" t="s">
        <v>400</v>
      </c>
      <c r="BE3" s="435"/>
      <c r="BF3" s="435" t="str">
        <f t="shared" si="0"/>
        <v>Территория действия тарифа</v>
      </c>
      <c r="BG3" s="435"/>
      <c r="BH3" s="435"/>
      <c r="BI3" s="1073">
        <v>0</v>
      </c>
    </row>
    <row r="4" spans="1:61" ht="33.75" hidden="1" customHeight="1">
      <c r="A4" s="1281"/>
      <c r="B4" s="1281"/>
      <c r="C4" s="1281"/>
      <c r="D4" s="1281"/>
      <c r="E4" s="2779"/>
      <c r="F4" s="2779"/>
      <c r="G4" s="2778">
        <v>1</v>
      </c>
      <c r="H4" s="1281"/>
      <c r="I4" s="1281"/>
      <c r="J4" s="1281"/>
      <c r="K4" s="1281"/>
      <c r="L4" s="1282"/>
      <c r="M4" s="1283"/>
      <c r="N4" s="1283"/>
      <c r="O4" s="1283"/>
      <c r="P4" s="1330"/>
      <c r="Q4" s="1329"/>
      <c r="R4" s="288"/>
      <c r="S4" s="1411" t="e">
        <f>INDEX(PT_DIFFERENTIATION_NUM_CS,MATCH(C4,PT_DIFFERENTIATION_CS_ID,0))</f>
        <v>#N/A</v>
      </c>
      <c r="T4" s="245" t="s">
        <v>532</v>
      </c>
      <c r="U4" s="236"/>
      <c r="V4" s="2767"/>
      <c r="W4" s="2767"/>
      <c r="X4" s="2767"/>
      <c r="Y4" s="2767"/>
      <c r="Z4" s="2767"/>
      <c r="AA4" s="2767"/>
      <c r="AB4" s="2767"/>
      <c r="AC4" s="2768"/>
      <c r="AD4" s="2766" t="e">
        <f>INDEX(PT_DIFFERENTIATION_CS,MATCH(C4,PT_DIFFERENTIATION_CS_ID,0))</f>
        <v>#N/A</v>
      </c>
      <c r="AE4" s="2767"/>
      <c r="AF4" s="2767"/>
      <c r="AG4" s="2767"/>
      <c r="AH4" s="2767"/>
      <c r="AI4" s="2767"/>
      <c r="AJ4" s="2767"/>
      <c r="AK4" s="2767"/>
      <c r="AL4" s="2767"/>
      <c r="AM4" s="2767"/>
      <c r="AN4" s="2767"/>
      <c r="AO4" s="2767"/>
      <c r="AP4" s="2767"/>
      <c r="AQ4" s="2767"/>
      <c r="AR4" s="2767"/>
      <c r="AS4" s="2767"/>
      <c r="AT4" s="2767"/>
      <c r="AU4" s="2767"/>
      <c r="AV4" s="2767"/>
      <c r="AW4" s="2767"/>
      <c r="AX4" s="2767"/>
      <c r="AY4" s="2767"/>
      <c r="AZ4" s="2767"/>
      <c r="BA4" s="2767"/>
      <c r="BB4" s="2768"/>
      <c r="BC4" s="1176" t="s">
        <v>533</v>
      </c>
      <c r="BE4" s="435"/>
      <c r="BF4" s="435" t="str">
        <f t="shared" si="0"/>
        <v>Наименование централизованной системы горячего водоснабжения</v>
      </c>
      <c r="BG4" s="435"/>
      <c r="BH4" s="435"/>
      <c r="BI4" s="1073">
        <v>0</v>
      </c>
    </row>
    <row r="5" spans="1:61" s="2520" customFormat="1" ht="14.25" hidden="1" customHeight="1">
      <c r="A5" s="1261"/>
      <c r="B5" s="1261"/>
      <c r="C5" s="1261"/>
      <c r="D5" s="1261"/>
      <c r="E5" s="2779"/>
      <c r="F5" s="2779"/>
      <c r="G5" s="2779"/>
      <c r="H5" s="2778">
        <v>1</v>
      </c>
      <c r="I5" s="1261"/>
      <c r="J5" s="1261"/>
      <c r="K5" s="1261"/>
      <c r="L5" s="1264"/>
      <c r="M5" s="1233"/>
      <c r="N5" s="1233"/>
      <c r="O5" s="1233"/>
      <c r="P5" s="1415"/>
      <c r="Q5" s="1416"/>
      <c r="R5" s="292"/>
      <c r="S5" s="964"/>
      <c r="T5" s="1417"/>
      <c r="U5" s="1302"/>
      <c r="V5" s="2796"/>
      <c r="W5" s="2796"/>
      <c r="X5" s="2796"/>
      <c r="Y5" s="2796"/>
      <c r="Z5" s="2796"/>
      <c r="AA5" s="2796"/>
      <c r="AB5" s="2796"/>
      <c r="AC5" s="2797"/>
      <c r="AD5" s="2795"/>
      <c r="AE5" s="2796"/>
      <c r="AF5" s="2796"/>
      <c r="AG5" s="2796"/>
      <c r="AH5" s="2796"/>
      <c r="AI5" s="2796"/>
      <c r="AJ5" s="2796"/>
      <c r="AK5" s="2796"/>
      <c r="AL5" s="2796"/>
      <c r="AM5" s="2796"/>
      <c r="AN5" s="2796"/>
      <c r="AO5" s="2796"/>
      <c r="AP5" s="2796"/>
      <c r="AQ5" s="2796"/>
      <c r="AR5" s="2796"/>
      <c r="AS5" s="2796"/>
      <c r="AT5" s="2796"/>
      <c r="AU5" s="2796"/>
      <c r="AV5" s="2796"/>
      <c r="AW5" s="2796"/>
      <c r="AX5" s="2796"/>
      <c r="AY5" s="2796"/>
      <c r="AZ5" s="2796"/>
      <c r="BA5" s="2796"/>
      <c r="BB5" s="2797"/>
      <c r="BC5" s="1303" t="s">
        <v>404</v>
      </c>
      <c r="BE5" s="435"/>
      <c r="BF5" s="435" t="str">
        <f t="shared" si="0"/>
        <v/>
      </c>
      <c r="BG5" s="435"/>
      <c r="BH5" s="435"/>
      <c r="BI5" s="446">
        <v>0</v>
      </c>
    </row>
    <row r="6" spans="1:61" s="2520" customFormat="1" ht="14.25" hidden="1" customHeight="1">
      <c r="A6" s="1261"/>
      <c r="B6" s="1261"/>
      <c r="C6" s="1261"/>
      <c r="D6" s="1261"/>
      <c r="E6" s="2779"/>
      <c r="F6" s="2779"/>
      <c r="G6" s="2779"/>
      <c r="H6" s="2779"/>
      <c r="I6" s="2776" t="str">
        <f>S5&amp;".1"</f>
        <v>.1</v>
      </c>
      <c r="J6" s="1261"/>
      <c r="K6" s="1261"/>
      <c r="L6" s="1264" t="s">
        <v>405</v>
      </c>
      <c r="M6" s="445"/>
      <c r="N6" s="445"/>
      <c r="O6" s="445"/>
      <c r="P6" s="2777">
        <v>1</v>
      </c>
      <c r="Q6" s="1399"/>
      <c r="R6" s="291"/>
      <c r="S6" s="964"/>
      <c r="T6" s="1301"/>
      <c r="U6" s="1302"/>
      <c r="V6" s="2796"/>
      <c r="W6" s="2796"/>
      <c r="X6" s="2796"/>
      <c r="Y6" s="2796"/>
      <c r="Z6" s="2796"/>
      <c r="AA6" s="2796"/>
      <c r="AB6" s="2796"/>
      <c r="AC6" s="2797"/>
      <c r="AD6" s="2795"/>
      <c r="AE6" s="2796"/>
      <c r="AF6" s="2796"/>
      <c r="AG6" s="2796"/>
      <c r="AH6" s="2796"/>
      <c r="AI6" s="2796"/>
      <c r="AJ6" s="2796"/>
      <c r="AK6" s="2796"/>
      <c r="AL6" s="2796"/>
      <c r="AM6" s="2796"/>
      <c r="AN6" s="2796"/>
      <c r="AO6" s="2796"/>
      <c r="AP6" s="2796"/>
      <c r="AQ6" s="2796"/>
      <c r="AR6" s="2796"/>
      <c r="AS6" s="2796"/>
      <c r="AT6" s="2796"/>
      <c r="AU6" s="2796"/>
      <c r="AV6" s="2796"/>
      <c r="AW6" s="2796"/>
      <c r="AX6" s="2796"/>
      <c r="AY6" s="2796"/>
      <c r="AZ6" s="2796"/>
      <c r="BA6" s="2796"/>
      <c r="BB6" s="2797"/>
      <c r="BC6" s="1303"/>
      <c r="BE6" s="435"/>
      <c r="BF6" s="435" t="str">
        <f t="shared" si="0"/>
        <v/>
      </c>
      <c r="BG6" s="435"/>
      <c r="BH6" s="435"/>
      <c r="BI6" s="446">
        <v>0</v>
      </c>
    </row>
    <row r="7" spans="1:61" s="2520" customFormat="1" ht="14.25" hidden="1" customHeight="1">
      <c r="A7" s="1261"/>
      <c r="B7" s="1261"/>
      <c r="C7" s="1261"/>
      <c r="D7" s="1261"/>
      <c r="E7" s="2779"/>
      <c r="F7" s="2779"/>
      <c r="G7" s="2779"/>
      <c r="H7" s="2779"/>
      <c r="I7" s="2787"/>
      <c r="J7" s="2776" t="str">
        <f>S5&amp;".1"</f>
        <v>.1</v>
      </c>
      <c r="K7" s="1261"/>
      <c r="L7" s="1264"/>
      <c r="M7" s="445"/>
      <c r="N7" s="445"/>
      <c r="O7" s="445"/>
      <c r="P7" s="2777"/>
      <c r="Q7" s="2777">
        <v>1</v>
      </c>
      <c r="R7" s="292"/>
      <c r="S7" s="964"/>
      <c r="T7" s="1317"/>
      <c r="U7" s="1302"/>
      <c r="V7" s="2796"/>
      <c r="W7" s="2796"/>
      <c r="X7" s="2796"/>
      <c r="Y7" s="2796"/>
      <c r="Z7" s="2796"/>
      <c r="AA7" s="2796"/>
      <c r="AB7" s="2796"/>
      <c r="AC7" s="2797"/>
      <c r="AD7" s="2795"/>
      <c r="AE7" s="2796"/>
      <c r="AF7" s="2796"/>
      <c r="AG7" s="2796"/>
      <c r="AH7" s="2796"/>
      <c r="AI7" s="2796"/>
      <c r="AJ7" s="2796"/>
      <c r="AK7" s="2796"/>
      <c r="AL7" s="2796"/>
      <c r="AM7" s="2796"/>
      <c r="AN7" s="2796"/>
      <c r="AO7" s="2796"/>
      <c r="AP7" s="2796"/>
      <c r="AQ7" s="2796"/>
      <c r="AR7" s="2796"/>
      <c r="AS7" s="2796"/>
      <c r="AT7" s="2796"/>
      <c r="AU7" s="2796"/>
      <c r="AV7" s="2796"/>
      <c r="AW7" s="2796"/>
      <c r="AX7" s="2796"/>
      <c r="AY7" s="2796"/>
      <c r="AZ7" s="2796"/>
      <c r="BA7" s="2796"/>
      <c r="BB7" s="2797"/>
      <c r="BC7" s="1303"/>
      <c r="BE7" s="435"/>
      <c r="BF7" s="435" t="str">
        <f t="shared" si="0"/>
        <v/>
      </c>
      <c r="BG7" s="435"/>
      <c r="BH7" s="435"/>
      <c r="BI7" s="446">
        <v>0</v>
      </c>
    </row>
    <row r="8" spans="1:61" ht="11.25" hidden="1" customHeight="1">
      <c r="A8" s="1281"/>
      <c r="B8" s="1281"/>
      <c r="C8" s="1281"/>
      <c r="D8" s="1281"/>
      <c r="E8" s="2779"/>
      <c r="F8" s="2779"/>
      <c r="G8" s="2779"/>
      <c r="H8" s="2779"/>
      <c r="I8" s="2787"/>
      <c r="J8" s="2787"/>
      <c r="K8" s="2776" t="e">
        <f>S4&amp;".1"</f>
        <v>#N/A</v>
      </c>
      <c r="L8" s="1282"/>
      <c r="P8" s="2777"/>
      <c r="Q8" s="2777"/>
      <c r="R8" s="2830">
        <v>1</v>
      </c>
      <c r="S8" s="2824" t="e">
        <f>$K8</f>
        <v>#N/A</v>
      </c>
      <c r="T8" s="2843"/>
      <c r="U8" s="236"/>
      <c r="V8" s="686"/>
      <c r="W8" s="1175"/>
      <c r="X8" s="686"/>
      <c r="Y8" s="1175"/>
      <c r="Z8" s="1651"/>
      <c r="AA8" s="1387" t="s">
        <v>66</v>
      </c>
      <c r="AB8" s="1651"/>
      <c r="AC8" s="1387" t="s">
        <v>66</v>
      </c>
      <c r="AD8" s="2647" t="s">
        <v>66</v>
      </c>
      <c r="AE8" s="2809"/>
      <c r="AF8" s="2720">
        <v>1</v>
      </c>
      <c r="AG8" s="2846"/>
      <c r="AH8" s="2619" t="s">
        <v>66</v>
      </c>
      <c r="AI8" s="2809"/>
      <c r="AJ8" s="2720">
        <v>1</v>
      </c>
      <c r="AK8" s="2810" t="s">
        <v>28</v>
      </c>
      <c r="AL8" s="2619" t="s">
        <v>66</v>
      </c>
      <c r="AM8" s="2710"/>
      <c r="AN8" s="2720">
        <v>1</v>
      </c>
      <c r="AO8" s="2840"/>
      <c r="AP8" s="2841" t="s">
        <v>66</v>
      </c>
      <c r="AQ8" s="247"/>
      <c r="AR8" s="1404">
        <v>1</v>
      </c>
      <c r="AS8" s="1410" t="s">
        <v>28</v>
      </c>
      <c r="AT8" s="686"/>
      <c r="AU8" s="1175"/>
      <c r="AV8" s="686"/>
      <c r="AW8" s="1175"/>
      <c r="AX8" s="1651"/>
      <c r="AY8" s="1387" t="s">
        <v>66</v>
      </c>
      <c r="AZ8" s="1651"/>
      <c r="BA8" s="1387" t="s">
        <v>66</v>
      </c>
      <c r="BB8" s="1266"/>
      <c r="BC8" s="2773" t="s">
        <v>503</v>
      </c>
      <c r="BE8" s="435"/>
      <c r="BF8" s="435" t="str">
        <f t="shared" si="0"/>
        <v/>
      </c>
      <c r="BG8" s="435"/>
      <c r="BH8" s="435"/>
      <c r="BI8" s="1073">
        <v>0</v>
      </c>
    </row>
    <row r="9" spans="1:61" ht="11.25" hidden="1" customHeight="1">
      <c r="A9" s="1281"/>
      <c r="B9" s="1281"/>
      <c r="C9" s="1281"/>
      <c r="D9" s="1281"/>
      <c r="E9" s="2779"/>
      <c r="F9" s="2779"/>
      <c r="G9" s="2779"/>
      <c r="H9" s="2779"/>
      <c r="I9" s="2787"/>
      <c r="J9" s="2787"/>
      <c r="K9" s="2776"/>
      <c r="L9" s="1282"/>
      <c r="P9" s="2777"/>
      <c r="Q9" s="2777"/>
      <c r="R9" s="2830"/>
      <c r="S9" s="2825"/>
      <c r="T9" s="2844"/>
      <c r="U9" s="236"/>
      <c r="V9" s="1311"/>
      <c r="W9" s="1414"/>
      <c r="X9" s="1311"/>
      <c r="Y9" s="1414"/>
      <c r="Z9" s="1311"/>
      <c r="AA9" s="1311"/>
      <c r="AB9" s="1311"/>
      <c r="AC9" s="1311"/>
      <c r="AD9" s="2648"/>
      <c r="AE9" s="2809"/>
      <c r="AF9" s="2720"/>
      <c r="AG9" s="2846"/>
      <c r="AH9" s="2619"/>
      <c r="AI9" s="2809"/>
      <c r="AJ9" s="2720"/>
      <c r="AK9" s="2810"/>
      <c r="AL9" s="2619"/>
      <c r="AM9" s="2715"/>
      <c r="AN9" s="2720"/>
      <c r="AO9" s="2840"/>
      <c r="AP9" s="2842"/>
      <c r="AQ9" s="252"/>
      <c r="AR9" s="351"/>
      <c r="AS9" s="351" t="s">
        <v>504</v>
      </c>
      <c r="AT9" s="1311"/>
      <c r="AU9" s="1414"/>
      <c r="AV9" s="1311"/>
      <c r="AW9" s="1414"/>
      <c r="AX9" s="1311"/>
      <c r="AY9" s="1311"/>
      <c r="AZ9" s="1311"/>
      <c r="BA9" s="1311"/>
      <c r="BB9" s="1315"/>
      <c r="BC9" s="2774"/>
      <c r="BE9" s="435"/>
      <c r="BF9" s="435"/>
      <c r="BG9" s="435"/>
      <c r="BH9" s="435"/>
      <c r="BI9" s="1073">
        <v>0</v>
      </c>
    </row>
    <row r="10" spans="1:61" ht="11.25" hidden="1" customHeight="1">
      <c r="A10" s="1281"/>
      <c r="B10" s="1281"/>
      <c r="C10" s="1281"/>
      <c r="D10" s="1281"/>
      <c r="E10" s="2779"/>
      <c r="F10" s="2779"/>
      <c r="G10" s="2779"/>
      <c r="H10" s="2779"/>
      <c r="I10" s="2787"/>
      <c r="J10" s="2787"/>
      <c r="K10" s="2776"/>
      <c r="L10" s="1282"/>
      <c r="P10" s="2777"/>
      <c r="Q10" s="2777"/>
      <c r="R10" s="2830"/>
      <c r="S10" s="2825"/>
      <c r="T10" s="2844"/>
      <c r="U10" s="236"/>
      <c r="V10" s="1311"/>
      <c r="W10" s="1414"/>
      <c r="X10" s="1311"/>
      <c r="Y10" s="1414"/>
      <c r="Z10" s="1311"/>
      <c r="AA10" s="1311"/>
      <c r="AB10" s="1311"/>
      <c r="AC10" s="1311"/>
      <c r="AD10" s="2648"/>
      <c r="AE10" s="2809"/>
      <c r="AF10" s="2720"/>
      <c r="AG10" s="2846"/>
      <c r="AH10" s="2619"/>
      <c r="AI10" s="2809"/>
      <c r="AJ10" s="2720"/>
      <c r="AK10" s="2810"/>
      <c r="AL10" s="2619"/>
      <c r="AM10" s="252"/>
      <c r="AN10" s="1418"/>
      <c r="AO10" s="1418" t="s">
        <v>505</v>
      </c>
      <c r="AP10" s="351"/>
      <c r="AQ10" s="351"/>
      <c r="AR10" s="351"/>
      <c r="AS10" s="1311"/>
      <c r="AT10" s="1311"/>
      <c r="AU10" s="1414"/>
      <c r="AV10" s="1311"/>
      <c r="AW10" s="1414"/>
      <c r="AX10" s="1311"/>
      <c r="AY10" s="1311"/>
      <c r="AZ10" s="1311"/>
      <c r="BA10" s="1311"/>
      <c r="BB10" s="1315"/>
      <c r="BC10" s="2774"/>
      <c r="BE10" s="435"/>
      <c r="BF10" s="435"/>
      <c r="BG10" s="435"/>
      <c r="BH10" s="435"/>
      <c r="BI10" s="1073">
        <v>0</v>
      </c>
    </row>
    <row r="11" spans="1:61" ht="11.25" hidden="1" customHeight="1">
      <c r="A11" s="1281"/>
      <c r="B11" s="1281"/>
      <c r="C11" s="1281"/>
      <c r="D11" s="1281"/>
      <c r="E11" s="2779"/>
      <c r="F11" s="2779"/>
      <c r="G11" s="2779"/>
      <c r="H11" s="2779"/>
      <c r="I11" s="2787"/>
      <c r="J11" s="2787"/>
      <c r="K11" s="2776"/>
      <c r="L11" s="1282"/>
      <c r="P11" s="2777"/>
      <c r="Q11" s="2777"/>
      <c r="R11" s="2830"/>
      <c r="S11" s="2825"/>
      <c r="T11" s="2844"/>
      <c r="U11" s="236"/>
      <c r="V11" s="1311"/>
      <c r="W11" s="1414"/>
      <c r="X11" s="1311"/>
      <c r="Y11" s="1414"/>
      <c r="Z11" s="1311"/>
      <c r="AA11" s="1311"/>
      <c r="AB11" s="1311"/>
      <c r="AC11" s="1311"/>
      <c r="AD11" s="2648"/>
      <c r="AE11" s="2809"/>
      <c r="AF11" s="2720"/>
      <c r="AG11" s="2846"/>
      <c r="AH11" s="2619"/>
      <c r="AI11" s="230"/>
      <c r="AJ11" s="350"/>
      <c r="AK11" s="249" t="s">
        <v>506</v>
      </c>
      <c r="AL11" s="1311"/>
      <c r="AM11" s="1311"/>
      <c r="AN11" s="1311"/>
      <c r="AO11" s="1311"/>
      <c r="AP11" s="1311"/>
      <c r="AQ11" s="1311"/>
      <c r="AR11" s="1311"/>
      <c r="AS11" s="1311"/>
      <c r="AT11" s="1311"/>
      <c r="AU11" s="1414"/>
      <c r="AV11" s="1311"/>
      <c r="AW11" s="1414"/>
      <c r="AX11" s="1311"/>
      <c r="AY11" s="1311"/>
      <c r="AZ11" s="1311"/>
      <c r="BA11" s="1311"/>
      <c r="BB11" s="1315"/>
      <c r="BC11" s="2774"/>
      <c r="BE11" s="435"/>
      <c r="BF11" s="435"/>
      <c r="BG11" s="435"/>
      <c r="BH11" s="435"/>
      <c r="BI11" s="1073">
        <v>0</v>
      </c>
    </row>
    <row r="12" spans="1:61" ht="11.25" hidden="1" customHeight="1">
      <c r="A12" s="1281"/>
      <c r="B12" s="1281"/>
      <c r="C12" s="1281"/>
      <c r="D12" s="1281"/>
      <c r="E12" s="2779"/>
      <c r="F12" s="2779"/>
      <c r="G12" s="2779"/>
      <c r="H12" s="2779"/>
      <c r="I12" s="2787"/>
      <c r="J12" s="2787"/>
      <c r="K12" s="2776"/>
      <c r="L12" s="1282"/>
      <c r="P12" s="2777"/>
      <c r="Q12" s="2777"/>
      <c r="R12" s="2830"/>
      <c r="S12" s="2826"/>
      <c r="T12" s="2845"/>
      <c r="U12" s="236"/>
      <c r="V12" s="1311"/>
      <c r="W12" s="1312" t="str">
        <f>Z8&amp;"-"&amp;AB8</f>
        <v>-</v>
      </c>
      <c r="X12" s="1311"/>
      <c r="Y12" s="1312" t="str">
        <f>AB8&amp;"-"&amp;AD8</f>
        <v>-да</v>
      </c>
      <c r="Z12" s="1311"/>
      <c r="AA12" s="1311"/>
      <c r="AB12" s="1311"/>
      <c r="AC12" s="1311"/>
      <c r="AD12" s="2624"/>
      <c r="AE12" s="248"/>
      <c r="AF12" s="250"/>
      <c r="AG12" s="351" t="s">
        <v>507</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774"/>
      <c r="BE12" s="435"/>
      <c r="BF12" s="435" t="str">
        <f t="shared" ref="BF12:BF18" si="1">IF(T12="","",T12)</f>
        <v/>
      </c>
      <c r="BG12" s="435"/>
      <c r="BH12" s="435"/>
      <c r="BI12" s="1073">
        <v>0</v>
      </c>
    </row>
    <row r="13" spans="1:61" ht="11.25" hidden="1" customHeight="1">
      <c r="A13" s="1281"/>
      <c r="B13" s="1281"/>
      <c r="C13" s="1281"/>
      <c r="D13" s="1281"/>
      <c r="E13" s="2779"/>
      <c r="F13" s="2779"/>
      <c r="G13" s="2779"/>
      <c r="H13" s="2779"/>
      <c r="I13" s="2787"/>
      <c r="J13" s="2776"/>
      <c r="K13" s="1281"/>
      <c r="L13" s="1282"/>
      <c r="P13" s="2777"/>
      <c r="Q13" s="2777"/>
      <c r="R13" s="291"/>
      <c r="S13" s="1196"/>
      <c r="T13" s="223" t="s">
        <v>470</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775"/>
      <c r="BE13" s="435"/>
      <c r="BF13" s="435" t="str">
        <f t="shared" si="1"/>
        <v>Добавить строку</v>
      </c>
      <c r="BG13" s="435"/>
      <c r="BH13" s="435"/>
      <c r="BI13" s="1073">
        <v>0</v>
      </c>
    </row>
    <row r="14" spans="1:61" s="2520" customFormat="1" ht="14.25" hidden="1" customHeight="1">
      <c r="A14" s="1261"/>
      <c r="B14" s="1261"/>
      <c r="C14" s="1261"/>
      <c r="D14" s="1261"/>
      <c r="E14" s="2779"/>
      <c r="F14" s="2779"/>
      <c r="G14" s="2779"/>
      <c r="H14" s="2779"/>
      <c r="I14" s="2776"/>
      <c r="J14" s="1261"/>
      <c r="K14" s="1261"/>
      <c r="L14" s="1264"/>
      <c r="M14" s="445"/>
      <c r="N14" s="445"/>
      <c r="O14" s="445"/>
      <c r="P14" s="2777"/>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520" customFormat="1" ht="14.25" hidden="1" customHeight="1">
      <c r="A15" s="1261"/>
      <c r="B15" s="1261"/>
      <c r="C15" s="1261"/>
      <c r="D15" s="1261"/>
      <c r="E15" s="2779"/>
      <c r="F15" s="2779"/>
      <c r="G15" s="2779"/>
      <c r="H15" s="2778"/>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520" customFormat="1" ht="14.25" hidden="1" customHeight="1">
      <c r="A16" s="1261"/>
      <c r="B16" s="1261"/>
      <c r="C16" s="1261"/>
      <c r="D16" s="1232"/>
      <c r="E16" s="2779"/>
      <c r="F16" s="2779"/>
      <c r="G16" s="2778"/>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520" customFormat="1" ht="14.25" hidden="1" customHeight="1">
      <c r="A17" s="1261"/>
      <c r="B17" s="1261"/>
      <c r="C17" s="1232"/>
      <c r="D17" s="1232"/>
      <c r="E17" s="2779"/>
      <c r="F17" s="2778"/>
      <c r="G17" s="1232"/>
      <c r="H17" s="1232"/>
      <c r="I17" s="1232"/>
      <c r="J17" s="1232"/>
      <c r="K17" s="1232"/>
      <c r="L17" s="1412"/>
      <c r="M17" s="1239"/>
      <c r="N17" s="1239"/>
      <c r="P17" s="1234"/>
      <c r="Q17" s="1235"/>
      <c r="R17" s="1234"/>
      <c r="S17" s="1240"/>
      <c r="T17" s="1243" t="s">
        <v>161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520" customFormat="1" ht="14.25" hidden="1" customHeight="1">
      <c r="A18" s="1261"/>
      <c r="B18" s="1261"/>
      <c r="C18" s="1261"/>
      <c r="D18" s="1261"/>
      <c r="E18" s="2778"/>
      <c r="F18" s="1261"/>
      <c r="G18" s="1261"/>
      <c r="H18" s="1261"/>
      <c r="I18" s="1261"/>
      <c r="J18" s="1261"/>
      <c r="K18" s="1261"/>
      <c r="L18" s="1264"/>
      <c r="M18" s="1239"/>
      <c r="N18" s="1239"/>
      <c r="O18" s="453"/>
      <c r="P18" s="315"/>
      <c r="Q18" s="1262"/>
      <c r="R18" s="315"/>
      <c r="S18" s="1240"/>
      <c r="T18" s="1243" t="s">
        <v>162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416</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551" customFormat="1" ht="14.25" hidden="1" customHeight="1">
      <c r="M24" s="1426"/>
      <c r="N24" s="1426"/>
      <c r="O24" s="1427" t="s">
        <v>417</v>
      </c>
      <c r="P24" s="1426"/>
      <c r="Q24" s="1428"/>
      <c r="R24" s="1428"/>
      <c r="AA24" s="1425" t="s">
        <v>419</v>
      </c>
      <c r="AC24" s="1425" t="s">
        <v>420</v>
      </c>
      <c r="AD24" s="1425" t="s">
        <v>471</v>
      </c>
      <c r="AH24" s="1425" t="s">
        <v>471</v>
      </c>
      <c r="AK24" s="1425" t="s">
        <v>508</v>
      </c>
      <c r="AL24" s="1425" t="s">
        <v>471</v>
      </c>
      <c r="AP24" s="1425" t="s">
        <v>471</v>
      </c>
      <c r="AY24" s="1425" t="s">
        <v>419</v>
      </c>
      <c r="BA24" s="1425" t="s">
        <v>420</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74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749"/>
      <c r="U28" s="2749"/>
      <c r="V28" s="2749"/>
      <c r="W28" s="2749"/>
      <c r="X28" s="2749"/>
      <c r="Y28" s="2749"/>
      <c r="Z28" s="2749"/>
      <c r="AA28" s="2749"/>
      <c r="AB28" s="2749"/>
      <c r="AC28" s="2749"/>
      <c r="AD28" s="2749"/>
      <c r="AE28" s="2749"/>
      <c r="AF28" s="2749"/>
      <c r="AG28" s="2749"/>
      <c r="AH28" s="2749"/>
      <c r="AI28" s="2749"/>
      <c r="AJ28" s="2749"/>
      <c r="AK28" s="2749"/>
      <c r="AL28" s="2749"/>
      <c r="AM28" s="2749"/>
      <c r="AN28" s="2749"/>
      <c r="AO28" s="2749"/>
      <c r="AP28" s="2749"/>
      <c r="AQ28" s="2749"/>
      <c r="AR28" s="2749"/>
      <c r="AS28" s="2749"/>
      <c r="AT28" s="2749"/>
      <c r="AU28" s="2749"/>
      <c r="AV28" s="2749"/>
      <c r="AW28" s="2749"/>
      <c r="AX28" s="2749"/>
      <c r="AY28" s="2749"/>
      <c r="AZ28" s="2749"/>
      <c r="BA28" s="1161"/>
      <c r="BI28" s="1073">
        <v>14</v>
      </c>
    </row>
    <row r="29" spans="1:61" ht="14.65" customHeight="1">
      <c r="Q29" s="227"/>
      <c r="R29" s="311"/>
      <c r="S29" s="2696" t="str">
        <f>IF(org=0,"Не определено",org)</f>
        <v>ООО "Ноябрьская ПГЭ"</v>
      </c>
      <c r="T29" s="2696"/>
      <c r="U29" s="2696"/>
      <c r="V29" s="2696"/>
      <c r="W29" s="2696"/>
      <c r="X29" s="2696"/>
      <c r="Y29" s="2696"/>
      <c r="Z29" s="2696"/>
      <c r="AA29" s="2696"/>
      <c r="AB29" s="2696"/>
      <c r="AC29" s="2696"/>
      <c r="AD29" s="2696"/>
      <c r="AE29" s="2696"/>
      <c r="AF29" s="2696"/>
      <c r="AG29" s="2696"/>
      <c r="AH29" s="2696"/>
      <c r="AI29" s="2696"/>
      <c r="AJ29" s="2696"/>
      <c r="AK29" s="2696"/>
      <c r="AL29" s="2696"/>
      <c r="AM29" s="2696"/>
      <c r="AN29" s="2696"/>
      <c r="AO29" s="2696"/>
      <c r="AP29" s="2696"/>
      <c r="AQ29" s="2696"/>
      <c r="AR29" s="2696"/>
      <c r="AS29" s="2696"/>
      <c r="AT29" s="2696"/>
      <c r="AU29" s="2696"/>
      <c r="AV29" s="2696"/>
      <c r="AW29" s="2696"/>
      <c r="AX29" s="2696"/>
      <c r="AY29" s="2696"/>
      <c r="AZ29" s="2696"/>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529" customFormat="1" ht="25.5" hidden="1" customHeight="1">
      <c r="A31" s="1286"/>
      <c r="B31" s="1286"/>
      <c r="C31" s="1286"/>
      <c r="D31" s="1286"/>
      <c r="E31" s="1286"/>
      <c r="F31" s="1286"/>
      <c r="G31" s="1286"/>
      <c r="H31" s="1286"/>
      <c r="I31" s="1286"/>
      <c r="J31" s="1286"/>
      <c r="K31" s="1286"/>
      <c r="L31" s="1287"/>
      <c r="M31" s="1286"/>
      <c r="N31" s="1286"/>
      <c r="O31" s="1286"/>
      <c r="P31" s="1286"/>
      <c r="Q31" s="1286"/>
      <c r="S31" s="2772" t="s">
        <v>42</v>
      </c>
      <c r="T31" s="2772"/>
      <c r="U31" s="1290"/>
      <c r="V31" s="2754" t="str">
        <f>IF(TITLE_NAME_OR_PR_CHANGE="",IF(TITLE_NAME_OR_PR="","",TITLE_NAME_OR_PR),TITLE_NAME_OR_PR_CHANGE)</f>
        <v/>
      </c>
      <c r="W31" s="2754"/>
      <c r="X31" s="2754"/>
      <c r="Y31" s="2754"/>
      <c r="Z31" s="2754"/>
      <c r="AA31" s="2754"/>
      <c r="AB31" s="2754"/>
      <c r="AC31" s="262"/>
      <c r="AD31" s="2754" t="str">
        <f>IF(TITLE_NAME_OR_PR_CHANGE="",IF(TITLE_NAME_OR_PR="","",TITLE_NAME_OR_PR),TITLE_NAME_OR_PR_CHANGE)</f>
        <v/>
      </c>
      <c r="AE31" s="2754"/>
      <c r="AF31" s="2754"/>
      <c r="AG31" s="2754"/>
      <c r="AH31" s="2754"/>
      <c r="AI31" s="2754"/>
      <c r="AJ31" s="2754"/>
      <c r="AK31" s="2754"/>
      <c r="AL31" s="2754"/>
      <c r="AM31" s="2754"/>
      <c r="AN31" s="2754"/>
      <c r="AO31" s="2754"/>
      <c r="AP31" s="2754"/>
      <c r="AQ31" s="2754"/>
      <c r="AR31" s="2754"/>
      <c r="AS31" s="2754"/>
      <c r="AT31" s="2754"/>
      <c r="AU31" s="2754"/>
      <c r="AV31" s="2754"/>
      <c r="AW31" s="2754"/>
      <c r="AX31" s="2754"/>
      <c r="AY31" s="2754"/>
      <c r="AZ31" s="2754"/>
      <c r="BA31" s="262"/>
      <c r="BB31" s="262"/>
      <c r="BC31" s="216"/>
      <c r="BD31" s="303"/>
      <c r="BE31" s="303"/>
      <c r="BF31" s="303"/>
      <c r="BG31" s="303"/>
      <c r="BH31" s="303"/>
      <c r="BI31" s="353">
        <v>0</v>
      </c>
    </row>
    <row r="32" spans="1:61" s="2529" customFormat="1" ht="18.75" hidden="1" customHeight="1">
      <c r="A32" s="1286"/>
      <c r="B32" s="1286"/>
      <c r="C32" s="1286"/>
      <c r="D32" s="1286"/>
      <c r="E32" s="1286"/>
      <c r="F32" s="1286"/>
      <c r="G32" s="1286"/>
      <c r="H32" s="1286"/>
      <c r="I32" s="1286"/>
      <c r="J32" s="1286"/>
      <c r="K32" s="1286"/>
      <c r="L32" s="1287"/>
      <c r="M32" s="1286"/>
      <c r="N32" s="1286"/>
      <c r="O32" s="1286"/>
      <c r="P32" s="1286"/>
      <c r="Q32" s="1286"/>
      <c r="S32" s="2772" t="s">
        <v>422</v>
      </c>
      <c r="T32" s="2772"/>
      <c r="U32" s="1290"/>
      <c r="V32" s="2755">
        <f>IF(TITLE_DATE_PR_CHANGE="",IF(TITLE_DATE_PR="","",TITLE_DATE_PR),TITLE_DATE_PR_CHANGE)</f>
        <v>45583</v>
      </c>
      <c r="W32" s="2755"/>
      <c r="X32" s="2755"/>
      <c r="Y32" s="2755"/>
      <c r="Z32" s="2755"/>
      <c r="AA32" s="2755"/>
      <c r="AB32" s="2755"/>
      <c r="AC32" s="262"/>
      <c r="AD32" s="2755">
        <f>IF(TITLE_DATE_PR_CHANGE="",IF(TITLE_DATE_PR="","",TITLE_DATE_PR),TITLE_DATE_PR_CHANGE)</f>
        <v>45583</v>
      </c>
      <c r="AE32" s="2755"/>
      <c r="AF32" s="2755"/>
      <c r="AG32" s="2755"/>
      <c r="AH32" s="2755"/>
      <c r="AI32" s="2755"/>
      <c r="AJ32" s="2755"/>
      <c r="AK32" s="2755"/>
      <c r="AL32" s="2755"/>
      <c r="AM32" s="2755"/>
      <c r="AN32" s="2755"/>
      <c r="AO32" s="2755"/>
      <c r="AP32" s="2755"/>
      <c r="AQ32" s="2755"/>
      <c r="AR32" s="2755"/>
      <c r="AS32" s="2755"/>
      <c r="AT32" s="2755"/>
      <c r="AU32" s="2755"/>
      <c r="AV32" s="2755"/>
      <c r="AW32" s="2755"/>
      <c r="AX32" s="2755"/>
      <c r="AY32" s="2755"/>
      <c r="AZ32" s="2755"/>
      <c r="BA32" s="262"/>
      <c r="BB32" s="262"/>
      <c r="BC32" s="216"/>
      <c r="BD32" s="303"/>
      <c r="BE32" s="303"/>
      <c r="BF32" s="303"/>
      <c r="BG32" s="303"/>
      <c r="BH32" s="303"/>
      <c r="BI32" s="353">
        <v>0</v>
      </c>
    </row>
    <row r="33" spans="1:61" s="2529" customFormat="1" ht="18.75" hidden="1" customHeight="1">
      <c r="A33" s="1286"/>
      <c r="B33" s="1286"/>
      <c r="C33" s="1286"/>
      <c r="D33" s="1286"/>
      <c r="E33" s="1286"/>
      <c r="F33" s="1286"/>
      <c r="G33" s="1286"/>
      <c r="H33" s="1286"/>
      <c r="I33" s="1286"/>
      <c r="J33" s="1286"/>
      <c r="K33" s="1286"/>
      <c r="L33" s="1287"/>
      <c r="M33" s="1286"/>
      <c r="N33" s="1286"/>
      <c r="O33" s="1286"/>
      <c r="P33" s="1286"/>
      <c r="Q33" s="1286"/>
      <c r="S33" s="2772" t="s">
        <v>423</v>
      </c>
      <c r="T33" s="2772"/>
      <c r="U33" s="1290"/>
      <c r="V33" s="2754" t="str">
        <f>IF(TITLE_NUMBER_PR_CHANGE="",IF(TITLE_NUMBER_PR="","",TITLE_NUMBER_PR),TITLE_NUMBER_PR_CHANGE)</f>
        <v>18-3341</v>
      </c>
      <c r="W33" s="2754"/>
      <c r="X33" s="2754"/>
      <c r="Y33" s="2754"/>
      <c r="Z33" s="2754"/>
      <c r="AA33" s="2754"/>
      <c r="AB33" s="2754"/>
      <c r="AC33" s="262"/>
      <c r="AD33" s="2754" t="str">
        <f>IF(TITLE_NUMBER_PR_CHANGE="",IF(TITLE_NUMBER_PR="","",TITLE_NUMBER_PR),TITLE_NUMBER_PR_CHANGE)</f>
        <v>18-3341</v>
      </c>
      <c r="AE33" s="2754"/>
      <c r="AF33" s="2754"/>
      <c r="AG33" s="2754"/>
      <c r="AH33" s="2754"/>
      <c r="AI33" s="2754"/>
      <c r="AJ33" s="2754"/>
      <c r="AK33" s="2754"/>
      <c r="AL33" s="2754"/>
      <c r="AM33" s="2754"/>
      <c r="AN33" s="2754"/>
      <c r="AO33" s="2754"/>
      <c r="AP33" s="2754"/>
      <c r="AQ33" s="2754"/>
      <c r="AR33" s="2754"/>
      <c r="AS33" s="2754"/>
      <c r="AT33" s="2754"/>
      <c r="AU33" s="2754"/>
      <c r="AV33" s="2754"/>
      <c r="AW33" s="2754"/>
      <c r="AX33" s="2754"/>
      <c r="AY33" s="2754"/>
      <c r="AZ33" s="2754"/>
      <c r="BA33" s="262"/>
      <c r="BB33" s="262"/>
      <c r="BC33" s="216"/>
      <c r="BD33" s="303"/>
      <c r="BE33" s="303"/>
      <c r="BF33" s="303"/>
      <c r="BG33" s="303"/>
      <c r="BH33" s="303"/>
      <c r="BI33" s="353">
        <v>0</v>
      </c>
    </row>
    <row r="34" spans="1:61" s="2529" customFormat="1" ht="18.75" hidden="1" customHeight="1">
      <c r="A34" s="1286"/>
      <c r="B34" s="1286"/>
      <c r="C34" s="1286"/>
      <c r="D34" s="1286"/>
      <c r="E34" s="1286"/>
      <c r="F34" s="1286"/>
      <c r="G34" s="1286"/>
      <c r="H34" s="1286"/>
      <c r="I34" s="1286"/>
      <c r="J34" s="1286"/>
      <c r="K34" s="1286"/>
      <c r="L34" s="1287"/>
      <c r="M34" s="1286"/>
      <c r="N34" s="1286"/>
      <c r="O34" s="1286"/>
      <c r="P34" s="1286"/>
      <c r="Q34" s="1286"/>
      <c r="S34" s="2772" t="s">
        <v>43</v>
      </c>
      <c r="T34" s="2772"/>
      <c r="U34" s="1290"/>
      <c r="V34" s="2754" t="str">
        <f>IF(TITLE_IST_PUB_CHANGE="",IF(TITLE_IST_PUB="","",TITLE_IST_PUB),TITLE_IST_PUB_CHANGE)</f>
        <v/>
      </c>
      <c r="W34" s="2754"/>
      <c r="X34" s="2754"/>
      <c r="Y34" s="2754"/>
      <c r="Z34" s="2754"/>
      <c r="AA34" s="2754"/>
      <c r="AB34" s="2754"/>
      <c r="AC34" s="262"/>
      <c r="AD34" s="2754" t="str">
        <f>IF(TITLE_IST_PUB_CHANGE="",IF(TITLE_IST_PUB="","",TITLE_IST_PUB),TITLE_IST_PUB_CHANGE)</f>
        <v/>
      </c>
      <c r="AE34" s="2754"/>
      <c r="AF34" s="2754"/>
      <c r="AG34" s="2754"/>
      <c r="AH34" s="2754"/>
      <c r="AI34" s="2754"/>
      <c r="AJ34" s="2754"/>
      <c r="AK34" s="2754"/>
      <c r="AL34" s="2754"/>
      <c r="AM34" s="2754"/>
      <c r="AN34" s="2754"/>
      <c r="AO34" s="2754"/>
      <c r="AP34" s="2754"/>
      <c r="AQ34" s="2754"/>
      <c r="AR34" s="2754"/>
      <c r="AS34" s="2754"/>
      <c r="AT34" s="2754"/>
      <c r="AU34" s="2754"/>
      <c r="AV34" s="2754"/>
      <c r="AW34" s="2754"/>
      <c r="AX34" s="2754"/>
      <c r="AY34" s="2754"/>
      <c r="AZ34" s="2754"/>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529" customFormat="1" ht="18.75" customHeight="1">
      <c r="A36" s="1286"/>
      <c r="B36" s="1286"/>
      <c r="C36" s="1286"/>
      <c r="D36" s="1286"/>
      <c r="E36" s="1286"/>
      <c r="F36" s="1286"/>
      <c r="G36" s="1286"/>
      <c r="H36" s="1286"/>
      <c r="I36" s="1286"/>
      <c r="J36" s="1286"/>
      <c r="K36" s="1286"/>
      <c r="L36" s="1287"/>
      <c r="M36" s="1286"/>
      <c r="N36" s="1286"/>
      <c r="O36" s="1286"/>
      <c r="P36" s="1286"/>
      <c r="Q36" s="1286"/>
      <c r="S36" s="2772" t="s">
        <v>422</v>
      </c>
      <c r="T36" s="2772"/>
      <c r="U36" s="1290"/>
      <c r="V36" s="2755">
        <f>IF(TITLE_DATE_PR_CHANGE="",IF(TITLE_DATE_PR="","",TITLE_DATE_PR),TITLE_DATE_PR_CHANGE)</f>
        <v>45583</v>
      </c>
      <c r="W36" s="2755"/>
      <c r="X36" s="2755"/>
      <c r="Y36" s="2755"/>
      <c r="Z36" s="2755"/>
      <c r="AA36" s="2755"/>
      <c r="AB36" s="2755"/>
      <c r="AC36" s="262"/>
      <c r="AD36" s="2755">
        <f>IF(TITLE_DATE_PR_CHANGE="",IF(TITLE_DATE_PR="","",TITLE_DATE_PR),TITLE_DATE_PR_CHANGE)</f>
        <v>45583</v>
      </c>
      <c r="AE36" s="2755"/>
      <c r="AF36" s="2755"/>
      <c r="AG36" s="2755"/>
      <c r="AH36" s="2755"/>
      <c r="AI36" s="2755"/>
      <c r="AJ36" s="2755"/>
      <c r="AK36" s="2755"/>
      <c r="AL36" s="2755"/>
      <c r="AM36" s="2755"/>
      <c r="AN36" s="2755"/>
      <c r="AO36" s="2755"/>
      <c r="AP36" s="2755"/>
      <c r="AQ36" s="2755"/>
      <c r="AR36" s="2755"/>
      <c r="AS36" s="2755"/>
      <c r="AT36" s="2755"/>
      <c r="AU36" s="2755"/>
      <c r="AV36" s="2755"/>
      <c r="AW36" s="2755"/>
      <c r="AX36" s="2755"/>
      <c r="AY36" s="2755"/>
      <c r="AZ36" s="2755"/>
      <c r="BA36" s="262"/>
      <c r="BB36" s="262"/>
      <c r="BC36" s="216"/>
      <c r="BD36" s="303"/>
      <c r="BE36" s="303"/>
      <c r="BF36" s="303"/>
      <c r="BG36" s="303"/>
      <c r="BH36" s="303"/>
      <c r="BI36" s="353">
        <v>0</v>
      </c>
    </row>
    <row r="37" spans="1:61" s="2529" customFormat="1" ht="18.75" customHeight="1">
      <c r="A37" s="1286"/>
      <c r="B37" s="1286"/>
      <c r="C37" s="1286"/>
      <c r="D37" s="1286"/>
      <c r="E37" s="1286"/>
      <c r="F37" s="1286"/>
      <c r="G37" s="1286"/>
      <c r="H37" s="1286"/>
      <c r="I37" s="1286"/>
      <c r="J37" s="1286"/>
      <c r="K37" s="1286"/>
      <c r="L37" s="1287"/>
      <c r="M37" s="1286"/>
      <c r="N37" s="1286"/>
      <c r="O37" s="1286"/>
      <c r="P37" s="1286"/>
      <c r="Q37" s="1286"/>
      <c r="S37" s="2772" t="s">
        <v>423</v>
      </c>
      <c r="T37" s="2772"/>
      <c r="U37" s="1290"/>
      <c r="V37" s="2754" t="str">
        <f>IF(TITLE_NUMBER_PR_CHANGE="",IF(TITLE_NUMBER_PR="","",TITLE_NUMBER_PR),TITLE_NUMBER_PR_CHANGE)</f>
        <v>18-3341</v>
      </c>
      <c r="W37" s="2754"/>
      <c r="X37" s="2754"/>
      <c r="Y37" s="2754"/>
      <c r="Z37" s="2754"/>
      <c r="AA37" s="2754"/>
      <c r="AB37" s="2754"/>
      <c r="AC37" s="262"/>
      <c r="AD37" s="2754" t="str">
        <f>IF(TITLE_NUMBER_PR_CHANGE="",IF(TITLE_NUMBER_PR="","",TITLE_NUMBER_PR),TITLE_NUMBER_PR_CHANGE)</f>
        <v>18-3341</v>
      </c>
      <c r="AE37" s="2754"/>
      <c r="AF37" s="2754"/>
      <c r="AG37" s="2754"/>
      <c r="AH37" s="2754"/>
      <c r="AI37" s="2754"/>
      <c r="AJ37" s="2754"/>
      <c r="AK37" s="2754"/>
      <c r="AL37" s="2754"/>
      <c r="AM37" s="2754"/>
      <c r="AN37" s="2754"/>
      <c r="AO37" s="2754"/>
      <c r="AP37" s="2754"/>
      <c r="AQ37" s="2754"/>
      <c r="AR37" s="2754"/>
      <c r="AS37" s="2754"/>
      <c r="AT37" s="2754"/>
      <c r="AU37" s="2754"/>
      <c r="AV37" s="2754"/>
      <c r="AW37" s="2754"/>
      <c r="AX37" s="2754"/>
      <c r="AY37" s="2754"/>
      <c r="AZ37" s="2754"/>
      <c r="BA37" s="262"/>
      <c r="BB37" s="262"/>
      <c r="BC37" s="216"/>
      <c r="BD37" s="303"/>
      <c r="BE37" s="303"/>
      <c r="BF37" s="303"/>
      <c r="BG37" s="303"/>
      <c r="BH37" s="303"/>
      <c r="BI37" s="353">
        <v>0</v>
      </c>
    </row>
    <row r="38" spans="1:61" s="2529"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426</v>
      </c>
      <c r="BD38" s="303"/>
      <c r="BE38" s="303"/>
      <c r="BF38" s="303"/>
      <c r="BG38" s="303"/>
      <c r="BH38" s="303"/>
      <c r="BI38" s="353">
        <v>0</v>
      </c>
    </row>
    <row r="39" spans="1:61" ht="14.65" customHeight="1">
      <c r="Q39" s="227"/>
      <c r="R39" s="311"/>
      <c r="S39" s="1193"/>
      <c r="T39" s="298"/>
      <c r="U39" s="1162"/>
      <c r="V39" s="2756"/>
      <c r="W39" s="2756"/>
      <c r="X39" s="2756"/>
      <c r="Y39" s="2756"/>
      <c r="Z39" s="2756"/>
      <c r="AA39" s="2756"/>
      <c r="AB39" s="2756"/>
      <c r="AC39" s="2756"/>
      <c r="AD39" s="2756"/>
      <c r="AE39" s="2756"/>
      <c r="AF39" s="2756"/>
      <c r="AG39" s="2756"/>
      <c r="AH39" s="2756"/>
      <c r="AI39" s="2756"/>
      <c r="AJ39" s="2756"/>
      <c r="AK39" s="2756"/>
      <c r="AL39" s="2756"/>
      <c r="AM39" s="2756"/>
      <c r="AN39" s="2756"/>
      <c r="AO39" s="2756"/>
      <c r="AP39" s="2756"/>
      <c r="AQ39" s="2756"/>
      <c r="AR39" s="2756"/>
      <c r="AS39" s="2756"/>
      <c r="AT39" s="2756"/>
      <c r="AU39" s="2756"/>
      <c r="AV39" s="2756"/>
      <c r="AW39" s="2756"/>
      <c r="AX39" s="2756"/>
      <c r="AY39" s="2756"/>
      <c r="AZ39" s="2756"/>
      <c r="BA39" s="2756"/>
      <c r="BI39" s="1073">
        <v>14</v>
      </c>
    </row>
    <row r="40" spans="1:61" ht="14.65" customHeight="1">
      <c r="Q40" s="227"/>
      <c r="R40" s="311"/>
      <c r="S40" s="2638" t="s">
        <v>302</v>
      </c>
      <c r="T40" s="2638"/>
      <c r="U40" s="2638"/>
      <c r="V40" s="2638"/>
      <c r="W40" s="2638"/>
      <c r="X40" s="2638"/>
      <c r="Y40" s="2638"/>
      <c r="Z40" s="2638"/>
      <c r="AA40" s="2638"/>
      <c r="AB40" s="2638"/>
      <c r="AC40" s="2638"/>
      <c r="AD40" s="2638"/>
      <c r="AE40" s="2638"/>
      <c r="AF40" s="2638"/>
      <c r="AG40" s="2638"/>
      <c r="AH40" s="2638"/>
      <c r="AI40" s="2638"/>
      <c r="AJ40" s="2638"/>
      <c r="AK40" s="2638"/>
      <c r="AL40" s="2638"/>
      <c r="AM40" s="2638"/>
      <c r="AN40" s="2638"/>
      <c r="AO40" s="2638"/>
      <c r="AP40" s="2638"/>
      <c r="AQ40" s="2638"/>
      <c r="AR40" s="2638"/>
      <c r="AS40" s="2638"/>
      <c r="AT40" s="2638"/>
      <c r="AU40" s="2638"/>
      <c r="AV40" s="2638"/>
      <c r="AW40" s="2638"/>
      <c r="AX40" s="2638"/>
      <c r="AY40" s="2638"/>
      <c r="AZ40" s="2638"/>
      <c r="BA40" s="2638"/>
      <c r="BB40" s="2638"/>
      <c r="BC40" s="2638" t="s">
        <v>303</v>
      </c>
      <c r="BI40" s="1073">
        <v>14</v>
      </c>
    </row>
    <row r="41" spans="1:61" ht="14.65" customHeight="1">
      <c r="Q41" s="227"/>
      <c r="R41" s="311"/>
      <c r="S41" s="2782" t="s">
        <v>87</v>
      </c>
      <c r="T41" s="2724" t="s">
        <v>509</v>
      </c>
      <c r="U41" s="237"/>
      <c r="V41" s="2757" t="s">
        <v>429</v>
      </c>
      <c r="W41" s="2758"/>
      <c r="X41" s="2758"/>
      <c r="Y41" s="2758"/>
      <c r="Z41" s="2758"/>
      <c r="AA41" s="2758"/>
      <c r="AB41" s="2759"/>
      <c r="AC41" s="2760" t="s">
        <v>430</v>
      </c>
      <c r="AD41" s="2811" t="s">
        <v>510</v>
      </c>
      <c r="AE41" s="2792"/>
      <c r="AF41" s="2792"/>
      <c r="AG41" s="2812"/>
      <c r="AH41" s="2811" t="s">
        <v>511</v>
      </c>
      <c r="AI41" s="2792"/>
      <c r="AJ41" s="2792"/>
      <c r="AK41" s="2812"/>
      <c r="AL41" s="2811" t="s">
        <v>512</v>
      </c>
      <c r="AM41" s="2792"/>
      <c r="AN41" s="2792"/>
      <c r="AO41" s="2812"/>
      <c r="AP41" s="2811" t="s">
        <v>513</v>
      </c>
      <c r="AQ41" s="2792"/>
      <c r="AR41" s="2792"/>
      <c r="AS41" s="2812"/>
      <c r="AT41" s="2757" t="s">
        <v>429</v>
      </c>
      <c r="AU41" s="2758"/>
      <c r="AV41" s="2758"/>
      <c r="AW41" s="2758"/>
      <c r="AX41" s="2758"/>
      <c r="AY41" s="2758"/>
      <c r="AZ41" s="2759"/>
      <c r="BA41" s="2760" t="s">
        <v>430</v>
      </c>
      <c r="BB41" s="2783" t="s">
        <v>432</v>
      </c>
      <c r="BC41" s="2638"/>
      <c r="BI41" s="1073">
        <v>14</v>
      </c>
    </row>
    <row r="42" spans="1:61" ht="35.65" customHeight="1">
      <c r="Q42" s="227"/>
      <c r="R42" s="311"/>
      <c r="S42" s="2782"/>
      <c r="T42" s="2724"/>
      <c r="U42" s="953"/>
      <c r="V42" s="2710" t="s">
        <v>514</v>
      </c>
      <c r="W42" s="2711"/>
      <c r="X42" s="2710" t="s">
        <v>515</v>
      </c>
      <c r="Y42" s="2711"/>
      <c r="Z42" s="2710" t="s">
        <v>516</v>
      </c>
      <c r="AA42" s="2806"/>
      <c r="AB42" s="2711"/>
      <c r="AC42" s="2761"/>
      <c r="AD42" s="2813"/>
      <c r="AE42" s="2814"/>
      <c r="AF42" s="2814"/>
      <c r="AG42" s="2815"/>
      <c r="AH42" s="2813"/>
      <c r="AI42" s="2814"/>
      <c r="AJ42" s="2814"/>
      <c r="AK42" s="2815"/>
      <c r="AL42" s="2813"/>
      <c r="AM42" s="2814"/>
      <c r="AN42" s="2814"/>
      <c r="AO42" s="2815"/>
      <c r="AP42" s="2813"/>
      <c r="AQ42" s="2814"/>
      <c r="AR42" s="2814"/>
      <c r="AS42" s="2815"/>
      <c r="AT42" s="2710" t="s">
        <v>514</v>
      </c>
      <c r="AU42" s="2711"/>
      <c r="AV42" s="2710" t="s">
        <v>515</v>
      </c>
      <c r="AW42" s="2711"/>
      <c r="AX42" s="2710" t="s">
        <v>516</v>
      </c>
      <c r="AY42" s="2806"/>
      <c r="AZ42" s="2711"/>
      <c r="BA42" s="2761"/>
      <c r="BB42" s="2784"/>
      <c r="BC42" s="2638"/>
      <c r="BI42" s="1073">
        <v>34</v>
      </c>
    </row>
    <row r="43" spans="1:61" ht="14.65" customHeight="1">
      <c r="Q43" s="227"/>
      <c r="R43" s="311"/>
      <c r="S43" s="2782"/>
      <c r="T43" s="2724"/>
      <c r="U43" s="953"/>
      <c r="V43" s="2715"/>
      <c r="W43" s="2716"/>
      <c r="X43" s="2715"/>
      <c r="Y43" s="2716"/>
      <c r="Z43" s="2715"/>
      <c r="AA43" s="2807"/>
      <c r="AB43" s="2716"/>
      <c r="AC43" s="2761"/>
      <c r="AD43" s="2813"/>
      <c r="AE43" s="2814"/>
      <c r="AF43" s="2814"/>
      <c r="AG43" s="2815"/>
      <c r="AH43" s="2813"/>
      <c r="AI43" s="2814"/>
      <c r="AJ43" s="2814"/>
      <c r="AK43" s="2815"/>
      <c r="AL43" s="2813"/>
      <c r="AM43" s="2814"/>
      <c r="AN43" s="2814"/>
      <c r="AO43" s="2815"/>
      <c r="AP43" s="2813"/>
      <c r="AQ43" s="2814"/>
      <c r="AR43" s="2814"/>
      <c r="AS43" s="2815"/>
      <c r="AT43" s="2715"/>
      <c r="AU43" s="2716"/>
      <c r="AV43" s="2715"/>
      <c r="AW43" s="2716"/>
      <c r="AX43" s="2715"/>
      <c r="AY43" s="2807"/>
      <c r="AZ43" s="2716"/>
      <c r="BA43" s="2761"/>
      <c r="BB43" s="2784"/>
      <c r="BC43" s="2638"/>
      <c r="BI43" s="1073">
        <v>14</v>
      </c>
    </row>
    <row r="44" spans="1:61" ht="14.65" customHeight="1">
      <c r="A44" s="1288"/>
      <c r="B44" s="1288" t="s">
        <v>134</v>
      </c>
      <c r="C44" s="1288" t="s">
        <v>135</v>
      </c>
      <c r="D44" s="1288" t="s">
        <v>136</v>
      </c>
      <c r="E44" s="1282" t="s">
        <v>437</v>
      </c>
      <c r="F44" s="1282" t="s">
        <v>438</v>
      </c>
      <c r="G44" s="1282" t="s">
        <v>439</v>
      </c>
      <c r="H44" s="1282" t="s">
        <v>440</v>
      </c>
      <c r="I44" s="1282" t="s">
        <v>441</v>
      </c>
      <c r="J44" s="1282" t="s">
        <v>442</v>
      </c>
      <c r="K44" s="1282" t="s">
        <v>443</v>
      </c>
      <c r="L44" s="1282" t="s">
        <v>417</v>
      </c>
      <c r="Q44" s="227"/>
      <c r="R44" s="311"/>
      <c r="S44" s="2782"/>
      <c r="T44" s="2724"/>
      <c r="U44" s="238"/>
      <c r="V44" s="1397" t="s">
        <v>480</v>
      </c>
      <c r="W44" s="1397" t="s">
        <v>481</v>
      </c>
      <c r="X44" s="1397" t="s">
        <v>480</v>
      </c>
      <c r="Y44" s="1397" t="s">
        <v>481</v>
      </c>
      <c r="Z44" s="1407" t="s">
        <v>446</v>
      </c>
      <c r="AA44" s="2733" t="s">
        <v>447</v>
      </c>
      <c r="AB44" s="2735"/>
      <c r="AC44" s="2762"/>
      <c r="AD44" s="2816"/>
      <c r="AE44" s="2817"/>
      <c r="AF44" s="2817"/>
      <c r="AG44" s="2818"/>
      <c r="AH44" s="2816"/>
      <c r="AI44" s="2817"/>
      <c r="AJ44" s="2817"/>
      <c r="AK44" s="2818"/>
      <c r="AL44" s="2816"/>
      <c r="AM44" s="2817"/>
      <c r="AN44" s="2817"/>
      <c r="AO44" s="2818"/>
      <c r="AP44" s="2816"/>
      <c r="AQ44" s="2817"/>
      <c r="AR44" s="2817"/>
      <c r="AS44" s="2818"/>
      <c r="AT44" s="1397" t="s">
        <v>480</v>
      </c>
      <c r="AU44" s="1397" t="s">
        <v>481</v>
      </c>
      <c r="AV44" s="1397" t="s">
        <v>480</v>
      </c>
      <c r="AW44" s="1397" t="s">
        <v>481</v>
      </c>
      <c r="AX44" s="1407" t="s">
        <v>446</v>
      </c>
      <c r="AY44" s="2733" t="s">
        <v>447</v>
      </c>
      <c r="AZ44" s="2735"/>
      <c r="BA44" s="2762"/>
      <c r="BB44" s="2785"/>
      <c r="BC44" s="2638"/>
      <c r="BI44" s="1073">
        <v>14</v>
      </c>
    </row>
    <row r="45" spans="1:61" s="2544"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108</v>
      </c>
      <c r="T45" s="1173" t="s">
        <v>109</v>
      </c>
      <c r="U45" s="1163" t="str">
        <f ca="1">OFFSET(U45,0,-1)</f>
        <v>2</v>
      </c>
      <c r="V45" s="1400">
        <f t="shared" ref="V45:AA45" ca="1" si="2">OFFSET(V45,0,-1)+1</f>
        <v>3</v>
      </c>
      <c r="W45" s="1400">
        <f t="shared" ca="1" si="2"/>
        <v>4</v>
      </c>
      <c r="X45" s="1400">
        <f t="shared" ca="1" si="2"/>
        <v>5</v>
      </c>
      <c r="Y45" s="1400">
        <f t="shared" ca="1" si="2"/>
        <v>6</v>
      </c>
      <c r="Z45" s="1400">
        <f t="shared" ca="1" si="2"/>
        <v>7</v>
      </c>
      <c r="AA45" s="2765">
        <f t="shared" ca="1" si="2"/>
        <v>8</v>
      </c>
      <c r="AB45" s="2765"/>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765">
        <f ca="1">OFFSET(AY45,0,-1)+1</f>
        <v>3</v>
      </c>
      <c r="AZ45" s="2765"/>
      <c r="BA45" s="1400">
        <f ca="1">OFFSET(BA45,0,-2)+1</f>
        <v>4</v>
      </c>
      <c r="BB45" s="1163">
        <f ca="1">OFFSET(BB45,0,-1)</f>
        <v>4</v>
      </c>
      <c r="BC45" s="1400">
        <f ca="1">OFFSET(BC45,0,-1)+1</f>
        <v>5</v>
      </c>
      <c r="BD45" s="446"/>
      <c r="BE45" s="446"/>
      <c r="BF45" s="446"/>
      <c r="BG45" s="446"/>
      <c r="BH45" s="446"/>
      <c r="BI45" s="431">
        <v>0</v>
      </c>
    </row>
    <row r="46" spans="1:61" ht="21.95" customHeight="1">
      <c r="A46" s="1281" t="s">
        <v>263</v>
      </c>
      <c r="B46" s="1281"/>
      <c r="C46" s="1281"/>
      <c r="D46" s="1281"/>
      <c r="E46" s="2778">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122</v>
      </c>
      <c r="U46" s="236"/>
      <c r="V46" s="2767"/>
      <c r="W46" s="2767"/>
      <c r="X46" s="2767"/>
      <c r="Y46" s="2767"/>
      <c r="Z46" s="2767"/>
      <c r="AA46" s="2767"/>
      <c r="AB46" s="2767"/>
      <c r="AC46" s="2768"/>
      <c r="AD46" s="2766" t="str">
        <f>INDEX(PT_DIFFERENTIATION_NTAR,MATCH(A46,PT_DIFFERENTIATION_NTAR_ID,0))</f>
        <v/>
      </c>
      <c r="AE46" s="2767"/>
      <c r="AF46" s="2767"/>
      <c r="AG46" s="2767"/>
      <c r="AH46" s="2767"/>
      <c r="AI46" s="2767"/>
      <c r="AJ46" s="2767"/>
      <c r="AK46" s="2767"/>
      <c r="AL46" s="2767"/>
      <c r="AM46" s="2767"/>
      <c r="AN46" s="2767"/>
      <c r="AO46" s="2767"/>
      <c r="AP46" s="2767"/>
      <c r="AQ46" s="2767"/>
      <c r="AR46" s="2767"/>
      <c r="AS46" s="2767"/>
      <c r="AT46" s="2767"/>
      <c r="AU46" s="2767"/>
      <c r="AV46" s="2767"/>
      <c r="AW46" s="2767"/>
      <c r="AX46" s="2767"/>
      <c r="AY46" s="2767"/>
      <c r="AZ46" s="2767"/>
      <c r="BA46" s="2767"/>
      <c r="BB46" s="276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263</v>
      </c>
      <c r="B47" s="1281" t="s">
        <v>264</v>
      </c>
      <c r="C47" s="1281"/>
      <c r="D47" s="1281"/>
      <c r="E47" s="2779"/>
      <c r="F47" s="2778">
        <v>1</v>
      </c>
      <c r="G47" s="1281"/>
      <c r="H47" s="1281"/>
      <c r="I47" s="1281"/>
      <c r="J47" s="1281"/>
      <c r="K47" s="1281"/>
      <c r="L47" s="1282"/>
      <c r="M47" s="1283"/>
      <c r="N47" s="1283"/>
      <c r="O47" s="1283"/>
      <c r="P47" s="1328"/>
      <c r="Q47" s="1329"/>
      <c r="R47" s="288"/>
      <c r="S47" s="1411" t="str">
        <f>INDEX(PT_DIFFERENTIATION_NUM_TER,MATCH(B47,PT_DIFFERENTIATION_TER_ID,0))</f>
        <v>.</v>
      </c>
      <c r="T47" s="244" t="s">
        <v>399</v>
      </c>
      <c r="U47" s="236"/>
      <c r="V47" s="2767"/>
      <c r="W47" s="2767"/>
      <c r="X47" s="2767"/>
      <c r="Y47" s="2767"/>
      <c r="Z47" s="2767"/>
      <c r="AA47" s="2767"/>
      <c r="AB47" s="2767"/>
      <c r="AC47" s="2768"/>
      <c r="AD47" s="2766" t="str">
        <f>INDEX(PT_DIFFERENTIATION_TER,MATCH(B47,PT_DIFFERENTIATION_TER_ID,0))</f>
        <v/>
      </c>
      <c r="AE47" s="2767"/>
      <c r="AF47" s="2767"/>
      <c r="AG47" s="2767"/>
      <c r="AH47" s="2767"/>
      <c r="AI47" s="2767"/>
      <c r="AJ47" s="2767"/>
      <c r="AK47" s="2767"/>
      <c r="AL47" s="2767"/>
      <c r="AM47" s="2767"/>
      <c r="AN47" s="2767"/>
      <c r="AO47" s="2767"/>
      <c r="AP47" s="2767"/>
      <c r="AQ47" s="2767"/>
      <c r="AR47" s="2767"/>
      <c r="AS47" s="2767"/>
      <c r="AT47" s="2767"/>
      <c r="AU47" s="2767"/>
      <c r="AV47" s="2767"/>
      <c r="AW47" s="2767"/>
      <c r="AX47" s="2767"/>
      <c r="AY47" s="2767"/>
      <c r="AZ47" s="2767"/>
      <c r="BA47" s="2767"/>
      <c r="BB47" s="2768"/>
      <c r="BC47" s="1176" t="s">
        <v>400</v>
      </c>
      <c r="BE47" s="435"/>
      <c r="BF47" s="435" t="str">
        <f t="shared" si="3"/>
        <v>Территория действия тарифа</v>
      </c>
      <c r="BG47" s="435"/>
      <c r="BH47" s="435"/>
      <c r="BI47" s="1073">
        <v>21</v>
      </c>
    </row>
    <row r="48" spans="1:61" ht="35.65" customHeight="1">
      <c r="A48" s="1281" t="s">
        <v>263</v>
      </c>
      <c r="B48" s="1281" t="s">
        <v>264</v>
      </c>
      <c r="C48" s="1281" t="s">
        <v>265</v>
      </c>
      <c r="D48" s="1281"/>
      <c r="E48" s="2779"/>
      <c r="F48" s="2779"/>
      <c r="G48" s="2778">
        <v>1</v>
      </c>
      <c r="H48" s="1281"/>
      <c r="I48" s="1281"/>
      <c r="J48" s="1281"/>
      <c r="K48" s="1281"/>
      <c r="L48" s="1282"/>
      <c r="M48" s="1283"/>
      <c r="N48" s="1283"/>
      <c r="O48" s="1283"/>
      <c r="P48" s="1330"/>
      <c r="Q48" s="1329"/>
      <c r="R48" s="288"/>
      <c r="S48" s="1411" t="str">
        <f>INDEX(PT_DIFFERENTIATION_NUM_CS,MATCH(C48,PT_DIFFERENTIATION_CS_ID,0))</f>
        <v>..</v>
      </c>
      <c r="T48" s="245" t="s">
        <v>532</v>
      </c>
      <c r="U48" s="236"/>
      <c r="V48" s="2767"/>
      <c r="W48" s="2767"/>
      <c r="X48" s="2767"/>
      <c r="Y48" s="2767"/>
      <c r="Z48" s="2767"/>
      <c r="AA48" s="2767"/>
      <c r="AB48" s="2767"/>
      <c r="AC48" s="2768"/>
      <c r="AD48" s="2766" t="str">
        <f>INDEX(PT_DIFFERENTIATION_CS,MATCH(C48,PT_DIFFERENTIATION_CS_ID,0))</f>
        <v/>
      </c>
      <c r="AE48" s="2767"/>
      <c r="AF48" s="2767"/>
      <c r="AG48" s="2767"/>
      <c r="AH48" s="2767"/>
      <c r="AI48" s="2767"/>
      <c r="AJ48" s="2767"/>
      <c r="AK48" s="2767"/>
      <c r="AL48" s="2767"/>
      <c r="AM48" s="2767"/>
      <c r="AN48" s="2767"/>
      <c r="AO48" s="2767"/>
      <c r="AP48" s="2767"/>
      <c r="AQ48" s="2767"/>
      <c r="AR48" s="2767"/>
      <c r="AS48" s="2767"/>
      <c r="AT48" s="2767"/>
      <c r="AU48" s="2767"/>
      <c r="AV48" s="2767"/>
      <c r="AW48" s="2767"/>
      <c r="AX48" s="2767"/>
      <c r="AY48" s="2767"/>
      <c r="AZ48" s="2767"/>
      <c r="BA48" s="2767"/>
      <c r="BB48" s="2768"/>
      <c r="BC48" s="1176" t="s">
        <v>533</v>
      </c>
      <c r="BE48" s="435"/>
      <c r="BF48" s="435" t="str">
        <f t="shared" si="3"/>
        <v>Наименование централизованной системы горячего водоснабжения</v>
      </c>
      <c r="BG48" s="435"/>
      <c r="BH48" s="435"/>
      <c r="BI48" s="1073">
        <v>34</v>
      </c>
    </row>
    <row r="49" spans="1:61" s="2520" customFormat="1" ht="0" hidden="1" customHeight="1">
      <c r="A49" s="1261" t="s">
        <v>263</v>
      </c>
      <c r="B49" s="1261" t="s">
        <v>264</v>
      </c>
      <c r="C49" s="1261" t="s">
        <v>265</v>
      </c>
      <c r="D49" s="1261" t="s">
        <v>546</v>
      </c>
      <c r="E49" s="2779"/>
      <c r="F49" s="2779"/>
      <c r="G49" s="2779"/>
      <c r="H49" s="2778">
        <v>1</v>
      </c>
      <c r="I49" s="1261"/>
      <c r="J49" s="1261"/>
      <c r="K49" s="1261"/>
      <c r="L49" s="1264"/>
      <c r="M49" s="1233"/>
      <c r="N49" s="1233"/>
      <c r="O49" s="1233"/>
      <c r="P49" s="1415"/>
      <c r="Q49" s="1416"/>
      <c r="R49" s="292"/>
      <c r="S49" s="964"/>
      <c r="T49" s="1417"/>
      <c r="U49" s="1302"/>
      <c r="V49" s="2796"/>
      <c r="W49" s="2796"/>
      <c r="X49" s="2796"/>
      <c r="Y49" s="2796"/>
      <c r="Z49" s="2796"/>
      <c r="AA49" s="2796"/>
      <c r="AB49" s="2796"/>
      <c r="AC49" s="2797"/>
      <c r="AD49" s="2795"/>
      <c r="AE49" s="2796"/>
      <c r="AF49" s="2796"/>
      <c r="AG49" s="2796"/>
      <c r="AH49" s="2796"/>
      <c r="AI49" s="2796"/>
      <c r="AJ49" s="2796"/>
      <c r="AK49" s="2796"/>
      <c r="AL49" s="2796"/>
      <c r="AM49" s="2796"/>
      <c r="AN49" s="2796"/>
      <c r="AO49" s="2796"/>
      <c r="AP49" s="2796"/>
      <c r="AQ49" s="2796"/>
      <c r="AR49" s="2796"/>
      <c r="AS49" s="2796"/>
      <c r="AT49" s="2796"/>
      <c r="AU49" s="2796"/>
      <c r="AV49" s="2796"/>
      <c r="AW49" s="2796"/>
      <c r="AX49" s="2796"/>
      <c r="AY49" s="2796"/>
      <c r="AZ49" s="2796"/>
      <c r="BA49" s="2796"/>
      <c r="BB49" s="2797"/>
      <c r="BC49" s="1303" t="s">
        <v>404</v>
      </c>
      <c r="BE49" s="435"/>
      <c r="BF49" s="435" t="str">
        <f t="shared" si="3"/>
        <v/>
      </c>
      <c r="BG49" s="435"/>
      <c r="BH49" s="435"/>
      <c r="BI49" s="446">
        <v>0</v>
      </c>
    </row>
    <row r="50" spans="1:61" s="2520" customFormat="1" ht="0" hidden="1" customHeight="1">
      <c r="A50" s="1261" t="s">
        <v>263</v>
      </c>
      <c r="B50" s="1261" t="s">
        <v>264</v>
      </c>
      <c r="C50" s="1261" t="s">
        <v>265</v>
      </c>
      <c r="D50" s="1261" t="s">
        <v>546</v>
      </c>
      <c r="E50" s="2779"/>
      <c r="F50" s="2779"/>
      <c r="G50" s="2779"/>
      <c r="H50" s="2779"/>
      <c r="I50" s="2776" t="str">
        <f>S49&amp;".1"</f>
        <v>.1</v>
      </c>
      <c r="J50" s="1261"/>
      <c r="K50" s="1261"/>
      <c r="L50" s="1264" t="s">
        <v>405</v>
      </c>
      <c r="M50" s="445"/>
      <c r="N50" s="445"/>
      <c r="O50" s="445"/>
      <c r="P50" s="2777">
        <v>1</v>
      </c>
      <c r="Q50" s="1399"/>
      <c r="R50" s="291"/>
      <c r="S50" s="964"/>
      <c r="T50" s="1301"/>
      <c r="U50" s="1302"/>
      <c r="V50" s="2796"/>
      <c r="W50" s="2796"/>
      <c r="X50" s="2796"/>
      <c r="Y50" s="2796"/>
      <c r="Z50" s="2796"/>
      <c r="AA50" s="2796"/>
      <c r="AB50" s="2796"/>
      <c r="AC50" s="2797"/>
      <c r="AD50" s="2795"/>
      <c r="AE50" s="2796"/>
      <c r="AF50" s="2796"/>
      <c r="AG50" s="2796"/>
      <c r="AH50" s="2796"/>
      <c r="AI50" s="2796"/>
      <c r="AJ50" s="2796"/>
      <c r="AK50" s="2796"/>
      <c r="AL50" s="2796"/>
      <c r="AM50" s="2796"/>
      <c r="AN50" s="2796"/>
      <c r="AO50" s="2796"/>
      <c r="AP50" s="2796"/>
      <c r="AQ50" s="2796"/>
      <c r="AR50" s="2796"/>
      <c r="AS50" s="2796"/>
      <c r="AT50" s="2796"/>
      <c r="AU50" s="2796"/>
      <c r="AV50" s="2796"/>
      <c r="AW50" s="2796"/>
      <c r="AX50" s="2796"/>
      <c r="AY50" s="2796"/>
      <c r="AZ50" s="2796"/>
      <c r="BA50" s="2796"/>
      <c r="BB50" s="2797"/>
      <c r="BC50" s="1303"/>
      <c r="BE50" s="435"/>
      <c r="BF50" s="435" t="str">
        <f t="shared" si="3"/>
        <v/>
      </c>
      <c r="BG50" s="435"/>
      <c r="BH50" s="435"/>
      <c r="BI50" s="446">
        <v>0</v>
      </c>
    </row>
    <row r="51" spans="1:61" s="2520" customFormat="1" ht="0" hidden="1" customHeight="1">
      <c r="A51" s="1261" t="s">
        <v>263</v>
      </c>
      <c r="B51" s="1261" t="s">
        <v>264</v>
      </c>
      <c r="C51" s="1261" t="s">
        <v>265</v>
      </c>
      <c r="D51" s="1261" t="s">
        <v>546</v>
      </c>
      <c r="E51" s="2779"/>
      <c r="F51" s="2779"/>
      <c r="G51" s="2779"/>
      <c r="H51" s="2779"/>
      <c r="I51" s="2787"/>
      <c r="J51" s="2776" t="str">
        <f>S49&amp;".1"</f>
        <v>.1</v>
      </c>
      <c r="K51" s="1261"/>
      <c r="L51" s="1264"/>
      <c r="M51" s="445"/>
      <c r="N51" s="445"/>
      <c r="O51" s="445"/>
      <c r="P51" s="2777"/>
      <c r="Q51" s="2777">
        <v>1</v>
      </c>
      <c r="R51" s="292"/>
      <c r="S51" s="964"/>
      <c r="T51" s="1317"/>
      <c r="U51" s="1302"/>
      <c r="V51" s="2796"/>
      <c r="W51" s="2796"/>
      <c r="X51" s="2796"/>
      <c r="Y51" s="2796"/>
      <c r="Z51" s="2796"/>
      <c r="AA51" s="2796"/>
      <c r="AB51" s="2796"/>
      <c r="AC51" s="2797"/>
      <c r="AD51" s="2795"/>
      <c r="AE51" s="2796"/>
      <c r="AF51" s="2796"/>
      <c r="AG51" s="2796"/>
      <c r="AH51" s="2796"/>
      <c r="AI51" s="2796"/>
      <c r="AJ51" s="2796"/>
      <c r="AK51" s="2796"/>
      <c r="AL51" s="2796"/>
      <c r="AM51" s="2796"/>
      <c r="AN51" s="2847"/>
      <c r="AO51" s="2847"/>
      <c r="AP51" s="2796"/>
      <c r="AQ51" s="2796"/>
      <c r="AR51" s="2796"/>
      <c r="AS51" s="2796"/>
      <c r="AT51" s="2796"/>
      <c r="AU51" s="2796"/>
      <c r="AV51" s="2796"/>
      <c r="AW51" s="2796"/>
      <c r="AX51" s="2796"/>
      <c r="AY51" s="2796"/>
      <c r="AZ51" s="2796"/>
      <c r="BA51" s="2796"/>
      <c r="BB51" s="2797"/>
      <c r="BC51" s="1303"/>
      <c r="BE51" s="435"/>
      <c r="BF51" s="435" t="str">
        <f t="shared" si="3"/>
        <v/>
      </c>
      <c r="BG51" s="435"/>
      <c r="BH51" s="435"/>
      <c r="BI51" s="446">
        <v>0</v>
      </c>
    </row>
    <row r="52" spans="1:61" ht="11.45" customHeight="1">
      <c r="A52" s="1281" t="s">
        <v>263</v>
      </c>
      <c r="B52" s="1281" t="s">
        <v>264</v>
      </c>
      <c r="C52" s="1281" t="s">
        <v>265</v>
      </c>
      <c r="D52" s="1281" t="s">
        <v>546</v>
      </c>
      <c r="E52" s="2779"/>
      <c r="F52" s="2779"/>
      <c r="G52" s="2779"/>
      <c r="H52" s="2779"/>
      <c r="I52" s="2787"/>
      <c r="J52" s="2787"/>
      <c r="K52" s="2776" t="str">
        <f>S48&amp;".1"</f>
        <v>...1</v>
      </c>
      <c r="L52" s="1282"/>
      <c r="P52" s="2777"/>
      <c r="Q52" s="2777"/>
      <c r="R52" s="292">
        <v>1</v>
      </c>
      <c r="S52" s="2824" t="str">
        <f>$K52</f>
        <v>...1</v>
      </c>
      <c r="T52" s="2843"/>
      <c r="U52" s="236"/>
      <c r="V52" s="686"/>
      <c r="W52" s="1175"/>
      <c r="X52" s="686"/>
      <c r="Y52" s="1175"/>
      <c r="Z52" s="1651"/>
      <c r="AA52" s="1387" t="s">
        <v>66</v>
      </c>
      <c r="AB52" s="1651"/>
      <c r="AC52" s="1387" t="s">
        <v>66</v>
      </c>
      <c r="AD52" s="2647" t="s">
        <v>66</v>
      </c>
      <c r="AE52" s="2809"/>
      <c r="AF52" s="2720">
        <v>1</v>
      </c>
      <c r="AG52" s="2846"/>
      <c r="AH52" s="2619" t="s">
        <v>66</v>
      </c>
      <c r="AI52" s="2809"/>
      <c r="AJ52" s="2720">
        <v>1</v>
      </c>
      <c r="AK52" s="2810" t="s">
        <v>28</v>
      </c>
      <c r="AL52" s="2619" t="s">
        <v>66</v>
      </c>
      <c r="AM52" s="2710"/>
      <c r="AN52" s="2720">
        <v>1</v>
      </c>
      <c r="AO52" s="2840"/>
      <c r="AP52" s="2841" t="s">
        <v>66</v>
      </c>
      <c r="AQ52" s="247"/>
      <c r="AR52" s="1404">
        <v>1</v>
      </c>
      <c r="AS52" s="1410" t="s">
        <v>28</v>
      </c>
      <c r="AT52" s="686"/>
      <c r="AU52" s="1175"/>
      <c r="AV52" s="686"/>
      <c r="AW52" s="1175"/>
      <c r="AX52" s="1651"/>
      <c r="AY52" s="1387" t="s">
        <v>66</v>
      </c>
      <c r="AZ52" s="1651"/>
      <c r="BA52" s="1387" t="s">
        <v>66</v>
      </c>
      <c r="BB52" s="1266"/>
      <c r="BC52" s="2773" t="s">
        <v>503</v>
      </c>
      <c r="BE52" s="435"/>
      <c r="BF52" s="435" t="str">
        <f t="shared" si="3"/>
        <v/>
      </c>
      <c r="BG52" s="435"/>
      <c r="BH52" s="435"/>
      <c r="BI52" s="1073">
        <v>11</v>
      </c>
    </row>
    <row r="53" spans="1:61" ht="11.45" customHeight="1">
      <c r="A53" s="1281"/>
      <c r="B53" s="1281"/>
      <c r="C53" s="1281"/>
      <c r="D53" s="1281"/>
      <c r="E53" s="2779"/>
      <c r="F53" s="2779"/>
      <c r="G53" s="2779"/>
      <c r="H53" s="2779"/>
      <c r="I53" s="2787"/>
      <c r="J53" s="2787"/>
      <c r="K53" s="2776"/>
      <c r="L53" s="1282"/>
      <c r="P53" s="2777"/>
      <c r="Q53" s="2777"/>
      <c r="R53" s="292"/>
      <c r="S53" s="2825"/>
      <c r="T53" s="2844"/>
      <c r="U53" s="236"/>
      <c r="V53" s="1311"/>
      <c r="W53" s="1414"/>
      <c r="X53" s="1311"/>
      <c r="Y53" s="1414"/>
      <c r="Z53" s="1311"/>
      <c r="AA53" s="1311"/>
      <c r="AB53" s="1311"/>
      <c r="AC53" s="1311"/>
      <c r="AD53" s="2648"/>
      <c r="AE53" s="2809"/>
      <c r="AF53" s="2720"/>
      <c r="AG53" s="2846"/>
      <c r="AH53" s="2619"/>
      <c r="AI53" s="2809"/>
      <c r="AJ53" s="2720"/>
      <c r="AK53" s="2810"/>
      <c r="AL53" s="2619"/>
      <c r="AM53" s="2715"/>
      <c r="AN53" s="2720"/>
      <c r="AO53" s="2840"/>
      <c r="AP53" s="2842"/>
      <c r="AQ53" s="252"/>
      <c r="AR53" s="351"/>
      <c r="AS53" s="351" t="s">
        <v>504</v>
      </c>
      <c r="AT53" s="1311"/>
      <c r="AU53" s="1414"/>
      <c r="AV53" s="1311"/>
      <c r="AW53" s="1414"/>
      <c r="AX53" s="1311"/>
      <c r="AY53" s="1311"/>
      <c r="AZ53" s="1311"/>
      <c r="BA53" s="1311"/>
      <c r="BB53" s="1315"/>
      <c r="BC53" s="2774"/>
      <c r="BE53" s="435"/>
      <c r="BF53" s="435"/>
      <c r="BG53" s="435"/>
      <c r="BH53" s="435"/>
      <c r="BI53" s="1073">
        <v>11</v>
      </c>
    </row>
    <row r="54" spans="1:61" ht="11.45" customHeight="1">
      <c r="A54" s="1281" t="s">
        <v>263</v>
      </c>
      <c r="B54" s="1281"/>
      <c r="C54" s="1281"/>
      <c r="D54" s="1281"/>
      <c r="E54" s="2779"/>
      <c r="F54" s="2779"/>
      <c r="G54" s="2779"/>
      <c r="H54" s="2779"/>
      <c r="I54" s="2787"/>
      <c r="J54" s="2787"/>
      <c r="K54" s="2776"/>
      <c r="L54" s="1282"/>
      <c r="P54" s="2777"/>
      <c r="Q54" s="2777"/>
      <c r="R54" s="292"/>
      <c r="S54" s="2825"/>
      <c r="T54" s="2844"/>
      <c r="U54" s="236"/>
      <c r="V54" s="1311"/>
      <c r="W54" s="1414"/>
      <c r="X54" s="1311"/>
      <c r="Y54" s="1414"/>
      <c r="Z54" s="1311"/>
      <c r="AA54" s="1311"/>
      <c r="AB54" s="1311"/>
      <c r="AC54" s="1311"/>
      <c r="AD54" s="2648"/>
      <c r="AE54" s="2809"/>
      <c r="AF54" s="2720"/>
      <c r="AG54" s="2846"/>
      <c r="AH54" s="2619"/>
      <c r="AI54" s="2809"/>
      <c r="AJ54" s="2720"/>
      <c r="AK54" s="2810"/>
      <c r="AL54" s="2619"/>
      <c r="AM54" s="252"/>
      <c r="AN54" s="1418"/>
      <c r="AO54" s="1418" t="s">
        <v>505</v>
      </c>
      <c r="AP54" s="351"/>
      <c r="AQ54" s="351"/>
      <c r="AR54" s="351"/>
      <c r="AS54" s="1311"/>
      <c r="AT54" s="1311"/>
      <c r="AU54" s="1414"/>
      <c r="AV54" s="1311"/>
      <c r="AW54" s="1414"/>
      <c r="AX54" s="1311"/>
      <c r="AY54" s="1311"/>
      <c r="AZ54" s="1311"/>
      <c r="BA54" s="1311"/>
      <c r="BB54" s="1315"/>
      <c r="BC54" s="2774"/>
      <c r="BE54" s="435"/>
      <c r="BF54" s="435"/>
      <c r="BG54" s="435"/>
      <c r="BH54" s="435"/>
      <c r="BI54" s="1073">
        <v>11</v>
      </c>
    </row>
    <row r="55" spans="1:61" ht="11.45" customHeight="1">
      <c r="A55" s="1281" t="s">
        <v>263</v>
      </c>
      <c r="B55" s="1281"/>
      <c r="C55" s="1281"/>
      <c r="D55" s="1281"/>
      <c r="E55" s="2779"/>
      <c r="F55" s="2779"/>
      <c r="G55" s="2779"/>
      <c r="H55" s="2779"/>
      <c r="I55" s="2787"/>
      <c r="J55" s="2787"/>
      <c r="K55" s="2776"/>
      <c r="L55" s="1282"/>
      <c r="P55" s="2777"/>
      <c r="Q55" s="2777"/>
      <c r="R55" s="292"/>
      <c r="S55" s="2825"/>
      <c r="T55" s="2844"/>
      <c r="U55" s="236"/>
      <c r="V55" s="1311"/>
      <c r="W55" s="1414"/>
      <c r="X55" s="1311"/>
      <c r="Y55" s="1414"/>
      <c r="Z55" s="1311"/>
      <c r="AA55" s="1311"/>
      <c r="AB55" s="1311"/>
      <c r="AC55" s="1311"/>
      <c r="AD55" s="2648"/>
      <c r="AE55" s="2809"/>
      <c r="AF55" s="2720"/>
      <c r="AG55" s="2846"/>
      <c r="AH55" s="2619"/>
      <c r="AI55" s="230"/>
      <c r="AJ55" s="350"/>
      <c r="AK55" s="249" t="s">
        <v>506</v>
      </c>
      <c r="AL55" s="1311"/>
      <c r="AM55" s="1311"/>
      <c r="AN55" s="1311"/>
      <c r="AO55" s="1311"/>
      <c r="AP55" s="1311"/>
      <c r="AQ55" s="1311"/>
      <c r="AR55" s="1311"/>
      <c r="AS55" s="1311"/>
      <c r="AT55" s="1311"/>
      <c r="AU55" s="1414"/>
      <c r="AV55" s="1311"/>
      <c r="AW55" s="1414"/>
      <c r="AX55" s="1311"/>
      <c r="AY55" s="1311"/>
      <c r="AZ55" s="1311"/>
      <c r="BA55" s="1311"/>
      <c r="BB55" s="1315"/>
      <c r="BC55" s="2774"/>
      <c r="BE55" s="435"/>
      <c r="BF55" s="435"/>
      <c r="BG55" s="435"/>
      <c r="BH55" s="435"/>
      <c r="BI55" s="1073">
        <v>11</v>
      </c>
    </row>
    <row r="56" spans="1:61" ht="11.45" customHeight="1">
      <c r="A56" s="1281" t="s">
        <v>263</v>
      </c>
      <c r="B56" s="1281" t="s">
        <v>264</v>
      </c>
      <c r="C56" s="1281" t="s">
        <v>265</v>
      </c>
      <c r="D56" s="1281" t="s">
        <v>546</v>
      </c>
      <c r="E56" s="2779"/>
      <c r="F56" s="2779"/>
      <c r="G56" s="2779"/>
      <c r="H56" s="2779"/>
      <c r="I56" s="2787"/>
      <c r="J56" s="2787"/>
      <c r="K56" s="2776"/>
      <c r="L56" s="1282"/>
      <c r="P56" s="2777"/>
      <c r="Q56" s="2777"/>
      <c r="R56" s="292"/>
      <c r="S56" s="2826"/>
      <c r="T56" s="2845"/>
      <c r="U56" s="236"/>
      <c r="V56" s="1311"/>
      <c r="W56" s="1312" t="str">
        <f>Z52&amp;"-"&amp;AB52</f>
        <v>-</v>
      </c>
      <c r="X56" s="1311"/>
      <c r="Y56" s="1312" t="str">
        <f>AB52&amp;"-"&amp;AD52</f>
        <v>-да</v>
      </c>
      <c r="Z56" s="1311"/>
      <c r="AA56" s="1311"/>
      <c r="AB56" s="1311"/>
      <c r="AC56" s="1311"/>
      <c r="AD56" s="2624"/>
      <c r="AE56" s="248"/>
      <c r="AF56" s="250"/>
      <c r="AG56" s="351" t="s">
        <v>507</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774"/>
      <c r="BE56" s="435"/>
      <c r="BF56" s="435" t="str">
        <f t="shared" ref="BF56:BF63" si="4">IF(T56="","",T56)</f>
        <v/>
      </c>
      <c r="BG56" s="435"/>
      <c r="BH56" s="435"/>
      <c r="BI56" s="1073">
        <v>11</v>
      </c>
    </row>
    <row r="57" spans="1:61" ht="11.45" customHeight="1">
      <c r="A57" s="1281" t="s">
        <v>263</v>
      </c>
      <c r="B57" s="1281" t="s">
        <v>264</v>
      </c>
      <c r="C57" s="1281" t="s">
        <v>265</v>
      </c>
      <c r="D57" s="1281" t="s">
        <v>546</v>
      </c>
      <c r="E57" s="2779"/>
      <c r="F57" s="2779"/>
      <c r="G57" s="2779"/>
      <c r="H57" s="2779"/>
      <c r="I57" s="2787"/>
      <c r="J57" s="2776"/>
      <c r="K57" s="1281"/>
      <c r="L57" s="1282"/>
      <c r="P57" s="2777"/>
      <c r="Q57" s="2777"/>
      <c r="R57" s="291"/>
      <c r="S57" s="1196"/>
      <c r="T57" s="223" t="s">
        <v>470</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775"/>
      <c r="BE57" s="435"/>
      <c r="BF57" s="435" t="str">
        <f t="shared" si="4"/>
        <v>Добавить строку</v>
      </c>
      <c r="BG57" s="435"/>
      <c r="BH57" s="435"/>
      <c r="BI57" s="1073">
        <v>11</v>
      </c>
    </row>
    <row r="58" spans="1:61" s="2520" customFormat="1" ht="0" hidden="1" customHeight="1">
      <c r="A58" s="1261" t="s">
        <v>263</v>
      </c>
      <c r="B58" s="1261" t="s">
        <v>264</v>
      </c>
      <c r="C58" s="1261" t="s">
        <v>265</v>
      </c>
      <c r="D58" s="1261" t="s">
        <v>546</v>
      </c>
      <c r="E58" s="2779"/>
      <c r="F58" s="2779"/>
      <c r="G58" s="2779"/>
      <c r="H58" s="2779"/>
      <c r="I58" s="2776"/>
      <c r="J58" s="1261"/>
      <c r="K58" s="1261"/>
      <c r="L58" s="1264"/>
      <c r="M58" s="445"/>
      <c r="N58" s="445"/>
      <c r="O58" s="445"/>
      <c r="P58" s="2777"/>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520" customFormat="1" ht="0" hidden="1" customHeight="1">
      <c r="A59" s="1261" t="s">
        <v>263</v>
      </c>
      <c r="B59" s="1261" t="s">
        <v>264</v>
      </c>
      <c r="C59" s="1261" t="s">
        <v>265</v>
      </c>
      <c r="D59" s="1261" t="s">
        <v>546</v>
      </c>
      <c r="E59" s="2779"/>
      <c r="F59" s="2779"/>
      <c r="G59" s="2779"/>
      <c r="H59" s="2778"/>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520" customFormat="1" ht="0" hidden="1" customHeight="1">
      <c r="A60" s="1261" t="s">
        <v>263</v>
      </c>
      <c r="B60" s="1261" t="s">
        <v>264</v>
      </c>
      <c r="C60" s="1261" t="s">
        <v>265</v>
      </c>
      <c r="D60" s="1232"/>
      <c r="E60" s="2779"/>
      <c r="F60" s="2779"/>
      <c r="G60" s="2778"/>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520" customFormat="1" ht="0" hidden="1" customHeight="1">
      <c r="A61" s="1261" t="s">
        <v>263</v>
      </c>
      <c r="B61" s="1261" t="s">
        <v>264</v>
      </c>
      <c r="C61" s="1232"/>
      <c r="D61" s="1232"/>
      <c r="E61" s="2779"/>
      <c r="F61" s="2778"/>
      <c r="G61" s="1232"/>
      <c r="H61" s="1232"/>
      <c r="I61" s="1232"/>
      <c r="J61" s="1232"/>
      <c r="K61" s="1232"/>
      <c r="L61" s="1412"/>
      <c r="M61" s="1239"/>
      <c r="N61" s="1239"/>
      <c r="P61" s="1234"/>
      <c r="Q61" s="1235"/>
      <c r="R61" s="1234"/>
      <c r="S61" s="1240"/>
      <c r="T61" s="1243" t="s">
        <v>161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520" customFormat="1" ht="0" hidden="1" customHeight="1">
      <c r="A62" s="1261" t="s">
        <v>263</v>
      </c>
      <c r="B62" s="1261"/>
      <c r="C62" s="1261"/>
      <c r="D62" s="1261"/>
      <c r="E62" s="2778"/>
      <c r="F62" s="1261"/>
      <c r="G62" s="1261"/>
      <c r="H62" s="1261"/>
      <c r="I62" s="1261"/>
      <c r="J62" s="1261"/>
      <c r="K62" s="1261"/>
      <c r="L62" s="1264"/>
      <c r="M62" s="1239"/>
      <c r="N62" s="1239"/>
      <c r="O62" s="453"/>
      <c r="P62" s="315"/>
      <c r="Q62" s="1262"/>
      <c r="R62" s="315"/>
      <c r="S62" s="1240"/>
      <c r="T62" s="1243" t="s">
        <v>162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520"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163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786"/>
      <c r="U65" s="2786"/>
      <c r="V65" s="2786"/>
      <c r="W65" s="2786"/>
      <c r="X65" s="2786"/>
      <c r="Y65" s="2786"/>
      <c r="Z65" s="2786"/>
      <c r="AA65" s="2786"/>
      <c r="AB65" s="2786"/>
      <c r="AC65" s="2786"/>
      <c r="AD65" s="2786"/>
      <c r="AE65" s="2786"/>
      <c r="AF65" s="2786"/>
      <c r="AG65" s="2786"/>
      <c r="AH65" s="2786"/>
      <c r="AI65" s="2786"/>
      <c r="AJ65" s="2786"/>
      <c r="AK65" s="2786"/>
      <c r="AL65" s="2786"/>
      <c r="AM65" s="2786"/>
      <c r="AN65" s="2786"/>
      <c r="AO65" s="2786"/>
      <c r="AP65" s="2786"/>
      <c r="AQ65" s="2786"/>
      <c r="AR65" s="2786"/>
      <c r="AS65" s="2786"/>
      <c r="AT65" s="2786"/>
      <c r="AU65" s="2786"/>
      <c r="AV65" s="2786"/>
      <c r="AW65" s="2786"/>
      <c r="AX65" s="2786"/>
      <c r="AY65" s="2786"/>
      <c r="AZ65" s="2786"/>
      <c r="BA65" s="2786"/>
      <c r="BB65" s="2786"/>
      <c r="BC65" s="2786"/>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786"/>
      <c r="U67" s="2786"/>
      <c r="V67" s="2786"/>
      <c r="W67" s="2786"/>
      <c r="X67" s="2786"/>
      <c r="Y67" s="2786"/>
      <c r="Z67" s="2786"/>
      <c r="AA67" s="2786"/>
      <c r="AB67" s="2786"/>
      <c r="AC67" s="2786"/>
      <c r="AD67" s="2786"/>
      <c r="AE67" s="2786"/>
      <c r="AF67" s="2786"/>
      <c r="AG67" s="2786"/>
      <c r="AH67" s="2786"/>
      <c r="AI67" s="2786"/>
      <c r="AJ67" s="2786"/>
      <c r="AK67" s="2786"/>
      <c r="AL67" s="2786"/>
      <c r="AM67" s="2786"/>
      <c r="AN67" s="2786"/>
      <c r="AO67" s="2786"/>
      <c r="AP67" s="2786"/>
      <c r="AQ67" s="2786"/>
      <c r="AR67" s="2786"/>
      <c r="AS67" s="2786"/>
      <c r="AT67" s="2786"/>
      <c r="AU67" s="2786"/>
      <c r="AV67" s="2786"/>
      <c r="AW67" s="2786"/>
      <c r="AX67" s="2786"/>
      <c r="AY67" s="2786"/>
      <c r="AZ67" s="2786"/>
      <c r="BA67" s="2786"/>
      <c r="BB67" s="2786"/>
      <c r="BC67" s="2786"/>
      <c r="BI67" s="1073">
        <v>19</v>
      </c>
    </row>
    <row r="68" spans="1:61" ht="14.65" customHeight="1">
      <c r="O68" s="472"/>
      <c r="BI68" s="1073">
        <v>14</v>
      </c>
    </row>
    <row r="69" spans="1:61" ht="14.25" hidden="1" customHeight="1">
      <c r="A69" s="1078" t="s">
        <v>81</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554" hidden="1" customWidth="1"/>
    <col min="2" max="2" width="16.85546875" style="2519" hidden="1" customWidth="1"/>
    <col min="3" max="3" width="5.5703125" style="2520" hidden="1" customWidth="1"/>
    <col min="4" max="4" width="3" style="2513" customWidth="1"/>
    <col min="5" max="5" width="7" style="2513" customWidth="1"/>
    <col min="6" max="6" width="54" style="2513" customWidth="1"/>
    <col min="7" max="7" width="10" style="2513" customWidth="1"/>
    <col min="8" max="8" width="40.7109375" style="2513" hidden="1" customWidth="1"/>
    <col min="9" max="9" width="40.7109375" style="2513" customWidth="1"/>
    <col min="10" max="10" width="102" style="2513" customWidth="1"/>
    <col min="11" max="11" width="9" style="2519" customWidth="1"/>
    <col min="12" max="12" width="5" style="2520" customWidth="1"/>
    <col min="13" max="13" width="3" style="2520" customWidth="1"/>
    <col min="14" max="17" width="3" style="2519" customWidth="1"/>
    <col min="18" max="18" width="10" style="2520" customWidth="1"/>
    <col min="19" max="19" width="34" style="2519" customWidth="1"/>
    <col min="20" max="20" width="9" style="2519" customWidth="1"/>
    <col min="21" max="21" width="8" style="2555" customWidth="1"/>
    <col min="22" max="26" width="8" style="2519" customWidth="1"/>
    <col min="27" max="31" width="8" style="2511" customWidth="1"/>
    <col min="32" max="32" width="9.140625" style="2513" hidden="1"/>
  </cols>
  <sheetData>
    <row r="1" spans="1:32" ht="22.5" hidden="1" customHeight="1">
      <c r="AF1" s="1549" t="s">
        <v>14</v>
      </c>
    </row>
    <row r="2" spans="1:32" ht="23.25" hidden="1" customHeight="1">
      <c r="B2" s="2613"/>
      <c r="C2" s="1085" t="s">
        <v>547</v>
      </c>
      <c r="D2" s="1556"/>
      <c r="E2" s="481">
        <f>B2</f>
        <v>0</v>
      </c>
      <c r="F2" s="482"/>
      <c r="G2" s="1564" t="s">
        <v>548</v>
      </c>
      <c r="H2" s="1564" t="s">
        <v>548</v>
      </c>
      <c r="I2" s="1564" t="s">
        <v>548</v>
      </c>
      <c r="J2" s="225" t="s">
        <v>549</v>
      </c>
      <c r="K2" s="478"/>
      <c r="AF2" s="1549">
        <v>0</v>
      </c>
    </row>
    <row r="3" spans="1:32" s="2520" customFormat="1" ht="0.75" hidden="1" customHeight="1">
      <c r="B3" s="2613"/>
      <c r="C3" s="1085"/>
      <c r="D3" s="483"/>
      <c r="E3" s="484"/>
      <c r="F3" s="485" t="s">
        <v>550</v>
      </c>
      <c r="G3" s="486"/>
      <c r="H3" s="486">
        <f>H4*H5+H7</f>
        <v>0</v>
      </c>
      <c r="I3" s="486">
        <f>I4*I5+I6</f>
        <v>0</v>
      </c>
      <c r="J3" s="487"/>
      <c r="AF3" s="1554">
        <v>0</v>
      </c>
    </row>
    <row r="4" spans="1:32" ht="23.25" hidden="1" customHeight="1">
      <c r="B4" s="2613"/>
      <c r="C4" s="1085"/>
      <c r="D4" s="1556"/>
      <c r="E4" s="481" t="str">
        <f>B2&amp;".1"</f>
        <v>.1</v>
      </c>
      <c r="F4" s="488" t="s">
        <v>551</v>
      </c>
      <c r="G4" s="489"/>
      <c r="H4" s="476"/>
      <c r="I4" s="476"/>
      <c r="J4" s="225" t="s">
        <v>552</v>
      </c>
      <c r="K4" s="478"/>
      <c r="AF4" s="1549">
        <v>0</v>
      </c>
    </row>
    <row r="5" spans="1:32" ht="18.75" hidden="1" customHeight="1">
      <c r="B5" s="2613"/>
      <c r="C5" s="1085"/>
      <c r="D5" s="1556"/>
      <c r="E5" s="481" t="str">
        <f>B2&amp;".2"</f>
        <v>.2</v>
      </c>
      <c r="F5" s="488" t="s">
        <v>553</v>
      </c>
      <c r="G5" s="1564" t="s">
        <v>554</v>
      </c>
      <c r="H5" s="476"/>
      <c r="I5" s="476"/>
      <c r="J5" s="225"/>
      <c r="K5" s="478"/>
      <c r="AF5" s="1549">
        <v>0</v>
      </c>
    </row>
    <row r="6" spans="1:32" ht="18.75" hidden="1" customHeight="1">
      <c r="B6" s="2613"/>
      <c r="C6" s="1085"/>
      <c r="D6" s="1556"/>
      <c r="E6" s="481" t="str">
        <f>B2&amp;".3"</f>
        <v>.3</v>
      </c>
      <c r="F6" s="488" t="s">
        <v>555</v>
      </c>
      <c r="G6" s="1564" t="s">
        <v>554</v>
      </c>
      <c r="H6" s="476"/>
      <c r="I6" s="476"/>
      <c r="J6" s="225"/>
      <c r="K6" s="478"/>
      <c r="AF6" s="1549">
        <v>0</v>
      </c>
    </row>
    <row r="7" spans="1:32" ht="18.75" hidden="1" customHeight="1">
      <c r="B7" s="2613"/>
      <c r="C7" s="1085"/>
      <c r="D7" s="1556"/>
      <c r="E7" s="481" t="str">
        <f>B2&amp;".4"</f>
        <v>.4</v>
      </c>
      <c r="F7" s="488" t="s">
        <v>556</v>
      </c>
      <c r="G7" s="1564" t="s">
        <v>548</v>
      </c>
      <c r="H7" s="490"/>
      <c r="I7" s="490"/>
      <c r="J7" s="225"/>
      <c r="K7" s="478"/>
      <c r="AF7" s="1549">
        <v>0</v>
      </c>
    </row>
    <row r="8" spans="1:32" s="2519" customFormat="1" ht="11.25" hidden="1" customHeight="1">
      <c r="A8" s="910"/>
      <c r="C8" s="1554"/>
      <c r="D8" s="472"/>
      <c r="H8" s="1078">
        <v>4</v>
      </c>
      <c r="I8" s="1078">
        <v>4</v>
      </c>
      <c r="L8" s="1554"/>
      <c r="M8" s="1554"/>
      <c r="R8" s="1554"/>
      <c r="AF8" s="1078">
        <v>0</v>
      </c>
    </row>
    <row r="9" spans="1:32" s="2519" customFormat="1" ht="22.5" hidden="1" customHeight="1">
      <c r="A9" s="910"/>
      <c r="C9" s="1554"/>
      <c r="D9" s="473"/>
      <c r="E9" s="1566"/>
      <c r="F9" s="475"/>
      <c r="G9" s="1564" t="s">
        <v>554</v>
      </c>
      <c r="H9" s="476"/>
      <c r="I9" s="476"/>
      <c r="J9" s="477" t="s">
        <v>557</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558</v>
      </c>
      <c r="H11" s="476"/>
      <c r="I11" s="476"/>
      <c r="J11" s="225" t="s">
        <v>559</v>
      </c>
      <c r="K11" s="478"/>
      <c r="AF11" s="1549">
        <v>0</v>
      </c>
    </row>
    <row r="12" spans="1:32" ht="11.25" hidden="1" customHeight="1">
      <c r="AF12" s="1549">
        <v>0</v>
      </c>
    </row>
    <row r="13" spans="1:32" ht="22.5" hidden="1" customHeight="1">
      <c r="D13" s="1556"/>
      <c r="E13" s="481"/>
      <c r="F13" s="475"/>
      <c r="G13" s="893" t="s">
        <v>560</v>
      </c>
      <c r="H13" s="480"/>
      <c r="I13" s="480"/>
      <c r="J13" s="680" t="s">
        <v>561</v>
      </c>
      <c r="K13" s="478"/>
      <c r="AF13" s="1549">
        <v>0</v>
      </c>
    </row>
    <row r="14" spans="1:32" ht="11.25" hidden="1" customHeight="1">
      <c r="AF14" s="1549">
        <v>0</v>
      </c>
    </row>
    <row r="15" spans="1:32" ht="22.5" hidden="1" customHeight="1">
      <c r="D15" s="1556"/>
      <c r="E15" s="481"/>
      <c r="F15" s="475"/>
      <c r="G15" s="1564" t="s">
        <v>562</v>
      </c>
      <c r="H15" s="480"/>
      <c r="I15" s="480"/>
      <c r="J15" s="225" t="s">
        <v>563</v>
      </c>
      <c r="K15" s="478"/>
      <c r="AF15" s="1549">
        <v>0</v>
      </c>
    </row>
    <row r="16" spans="1:32" ht="11.25" hidden="1" customHeight="1">
      <c r="AF16" s="1549">
        <v>0</v>
      </c>
    </row>
    <row r="17" spans="1:32" ht="22.5" hidden="1" customHeight="1">
      <c r="D17" s="1556"/>
      <c r="E17" s="481"/>
      <c r="F17" s="475"/>
      <c r="G17" s="1564" t="s">
        <v>564</v>
      </c>
      <c r="H17" s="480"/>
      <c r="I17" s="480"/>
      <c r="J17" s="225" t="s">
        <v>565</v>
      </c>
      <c r="K17" s="478"/>
      <c r="AF17" s="1549">
        <v>0</v>
      </c>
    </row>
    <row r="18" spans="1:32" ht="11.25" hidden="1" customHeight="1">
      <c r="AF18" s="1549">
        <v>0</v>
      </c>
    </row>
    <row r="19" spans="1:32" s="2511"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274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749"/>
      <c r="G21" s="2749"/>
      <c r="H21" s="2749"/>
      <c r="I21" s="2749"/>
      <c r="J21" s="491"/>
      <c r="AF21" s="1549">
        <v>24</v>
      </c>
    </row>
    <row r="22" spans="1:32" ht="25.15" customHeight="1">
      <c r="E22" s="2696" t="str">
        <f>IF(org=0,"Не определено",org)</f>
        <v>ООО "Ноябрьская ПГЭ"</v>
      </c>
      <c r="F22" s="2696"/>
      <c r="G22" s="2696"/>
      <c r="H22" s="2696"/>
      <c r="I22" s="2696"/>
      <c r="AF22" s="1549">
        <v>24</v>
      </c>
    </row>
    <row r="23" spans="1:32" ht="11.45" customHeight="1">
      <c r="E23" s="1053"/>
      <c r="F23" s="1053"/>
      <c r="G23" s="1053"/>
      <c r="H23" s="1053"/>
      <c r="I23" s="1053"/>
      <c r="AF23" s="1549">
        <v>11</v>
      </c>
    </row>
    <row r="24" spans="1:32" s="2520" customFormat="1" ht="1.1499999999999999" customHeight="1">
      <c r="A24" s="1085"/>
      <c r="D24" s="1560"/>
      <c r="H24" s="813"/>
      <c r="I24" s="813" t="s">
        <v>116</v>
      </c>
      <c r="AF24" s="1554">
        <v>1</v>
      </c>
    </row>
    <row r="25" spans="1:32" ht="11.45" customHeight="1">
      <c r="E25" s="646"/>
      <c r="F25" s="2849" t="s">
        <v>104</v>
      </c>
      <c r="G25" s="2850"/>
      <c r="H25" s="1570" t="str">
        <f>IF(H24="","",INDEX(DIFFERENTIATION_UNMERGE_VD,MATCH(H24,DIFFERENTIATION_ID_DIFF,0)))</f>
        <v/>
      </c>
      <c r="I25" s="1570">
        <f>IF(I24="","",INDEX(DIFFERENTIATION_UNMERGE_VD,MATCH(I24,DIFFERENTIATION_ID_DIFF,0)))</f>
        <v>0</v>
      </c>
      <c r="J25" s="2638"/>
      <c r="AF25" s="1549">
        <v>11</v>
      </c>
    </row>
    <row r="26" spans="1:32" ht="11.45" customHeight="1">
      <c r="E26" s="646"/>
      <c r="F26" s="2849" t="s">
        <v>566</v>
      </c>
      <c r="G26" s="2850"/>
      <c r="H26" s="1570" t="str">
        <f>IF(H24="","",INDEX(DIFFERENTIATION_UNMERGE_AREA,MATCH(H24,DIFFERENTIATION_ID_DIFF,0)))</f>
        <v/>
      </c>
      <c r="I26" s="1570" t="str">
        <f>IF(I24="","",INDEX(DIFFERENTIATION_UNMERGE_AREA,MATCH(I24,DIFFERENTIATION_ID_DIFF,0)))</f>
        <v/>
      </c>
      <c r="J26" s="2638"/>
      <c r="AF26" s="1549">
        <v>11</v>
      </c>
    </row>
    <row r="27" spans="1:32" ht="11.45" customHeight="1">
      <c r="E27" s="646"/>
      <c r="F27" s="2849" t="s">
        <v>567</v>
      </c>
      <c r="G27" s="2850"/>
      <c r="H27" s="1570" t="str">
        <f>IF(H24="","",INDEX(DIFFERENTIATION_UNMERGE_SYSTEM,MATCH(H24,DIFFERENTIATION_ID_DIFF,0)))</f>
        <v/>
      </c>
      <c r="I27" s="1570" t="str">
        <f>IF(I24="","",INDEX(DIFFERENTIATION_UNMERGE_SYSTEM,MATCH(I24,DIFFERENTIATION_ID_DIFF,0)))</f>
        <v>без дифференциации</v>
      </c>
      <c r="J27" s="2638"/>
      <c r="AF27" s="1549">
        <v>11</v>
      </c>
    </row>
    <row r="28" spans="1:32" ht="11.45" customHeight="1">
      <c r="E28" s="2851" t="s">
        <v>302</v>
      </c>
      <c r="F28" s="2852"/>
      <c r="G28" s="2852"/>
      <c r="H28" s="1563"/>
      <c r="I28" s="1563"/>
      <c r="J28" s="2638"/>
      <c r="AF28" s="1549">
        <v>11</v>
      </c>
    </row>
    <row r="29" spans="1:32" ht="24" customHeight="1">
      <c r="E29" s="1564" t="s">
        <v>87</v>
      </c>
      <c r="F29" s="1571" t="s">
        <v>304</v>
      </c>
      <c r="G29" s="1571" t="s">
        <v>568</v>
      </c>
      <c r="H29" s="1571" t="s">
        <v>305</v>
      </c>
      <c r="I29" s="1571" t="s">
        <v>305</v>
      </c>
      <c r="J29" s="2638"/>
      <c r="AF29" s="1549">
        <v>23</v>
      </c>
    </row>
    <row r="30" spans="1:32" ht="19.899999999999999" customHeight="1">
      <c r="D30" s="1556"/>
      <c r="E30" s="481">
        <f>FHD_NUM_P_1</f>
        <v>1</v>
      </c>
      <c r="F30" s="1795" t="str">
        <f>FHD_P_1</f>
        <v>Выручка от регулируемого вида деятельности с распределением по видам деятельности</v>
      </c>
      <c r="G30" s="1793" t="s">
        <v>554</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5" t="str">
        <f>FHD_P_2</f>
        <v>Себестоимость производимых товаров (оказываемых услуг) по регулируемому виду деятельности, включая:</v>
      </c>
      <c r="G31" s="1793" t="s">
        <v>554</v>
      </c>
      <c r="H31" s="493">
        <f>SUMIF($K33:$K71,$K31,H33:H71)</f>
        <v>0</v>
      </c>
      <c r="I31" s="493">
        <f>SUMIF($K33:$K71,$K31,I33:I71)</f>
        <v>0</v>
      </c>
      <c r="J31" s="225" t="str">
        <f>FHD_NOTE_P_2</f>
        <v>Указывается суммарная себестоимость производимых товаров.</v>
      </c>
      <c r="K31" s="1554" t="s">
        <v>569</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3" t="s">
        <v>554</v>
      </c>
      <c r="H32" s="492"/>
      <c r="I32" s="492"/>
      <c r="J32" s="225" t="str">
        <f>FHD_NOTE_P_3</f>
        <v/>
      </c>
      <c r="K32" s="1554" t="str">
        <f t="shared" ref="K32:K70" si="0">IF((LEN(E32)-LEN(SUBSTITUTE(E32,".","")))/LEN(".")=1,"p","")</f>
        <v>p</v>
      </c>
      <c r="AF32" s="1549">
        <v>11</v>
      </c>
    </row>
    <row r="33" spans="1:32" ht="11.25" customHeight="1">
      <c r="A33" s="2853" t="s">
        <v>570</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554</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544" customFormat="1" ht="0.75" customHeight="1">
      <c r="A34" s="2853"/>
      <c r="B34" s="2854"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544" customFormat="1" ht="0.75" customHeight="1">
      <c r="A35" s="2853"/>
      <c r="B35" s="2854"/>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544" customFormat="1" ht="0.75" customHeight="1">
      <c r="A36" s="2853"/>
      <c r="B36" s="2854"/>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544" customFormat="1" ht="0.75" customHeight="1">
      <c r="A37" s="2853"/>
      <c r="B37" s="2854"/>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544" customFormat="1" ht="0.75" customHeight="1">
      <c r="A38" s="2853"/>
      <c r="B38" s="2854"/>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544" customFormat="1" ht="0.75" customHeight="1">
      <c r="A39" s="2853"/>
      <c r="B39" s="2854"/>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519" customFormat="1" ht="15" customHeight="1">
      <c r="A40" s="2853"/>
      <c r="C40" s="1554"/>
      <c r="D40" s="1551"/>
      <c r="E40" s="505"/>
      <c r="F40" s="506" t="s">
        <v>571</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2853" t="s">
        <v>572</v>
      </c>
      <c r="D41" s="1556"/>
      <c r="E41" s="481" t="str">
        <f>FHD_NUM_P_5</f>
        <v/>
      </c>
      <c r="F41" s="1442" t="str">
        <f>FHD_P_5</f>
        <v/>
      </c>
      <c r="G41" s="1793" t="s">
        <v>554</v>
      </c>
      <c r="H41" s="492"/>
      <c r="I41" s="492"/>
      <c r="J41" s="225" t="str">
        <f>FHD_NOTE_P_5</f>
        <v/>
      </c>
      <c r="K41" s="1554" t="str">
        <f t="shared" si="0"/>
        <v/>
      </c>
      <c r="AF41" s="1549">
        <v>0</v>
      </c>
    </row>
    <row r="42" spans="1:32" ht="11.25" hidden="1" customHeight="1">
      <c r="A42" s="2853"/>
      <c r="D42" s="1556"/>
      <c r="E42" s="481" t="str">
        <f>FHD_NUM_P_6</f>
        <v/>
      </c>
      <c r="F42" s="1442" t="str">
        <f>FHD_P_6</f>
        <v/>
      </c>
      <c r="G42" s="1793" t="s">
        <v>554</v>
      </c>
      <c r="H42" s="492"/>
      <c r="I42" s="492"/>
      <c r="J42" s="225" t="str">
        <f>FHD_NOTE_P_6</f>
        <v/>
      </c>
      <c r="K42" s="1554" t="str">
        <f t="shared" si="0"/>
        <v/>
      </c>
      <c r="AF42" s="1549">
        <v>0</v>
      </c>
    </row>
    <row r="43" spans="1:32" ht="11.25" hidden="1" customHeight="1">
      <c r="A43" s="2853"/>
      <c r="D43" s="1556"/>
      <c r="E43" s="481" t="str">
        <f>FHD_NUM_P_7</f>
        <v/>
      </c>
      <c r="F43" s="1442" t="str">
        <f>FHD_P_7</f>
        <v/>
      </c>
      <c r="G43" s="1793" t="s">
        <v>554</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3" t="s">
        <v>554</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3" t="s">
        <v>573</v>
      </c>
      <c r="H45" s="492"/>
      <c r="I45" s="492"/>
      <c r="J45" s="225" t="str">
        <f>FHD_NOTE_P_9</f>
        <v/>
      </c>
      <c r="K45" s="1554" t="str">
        <f t="shared" si="0"/>
        <v/>
      </c>
      <c r="AF45" s="1549">
        <v>11</v>
      </c>
    </row>
    <row r="46" spans="1:32" s="2519" customFormat="1" ht="11.45" customHeight="1">
      <c r="A46" s="910"/>
      <c r="C46" s="1554"/>
      <c r="D46" s="509"/>
      <c r="E46" s="481" t="str">
        <f>FHD_NUM_P_10</f>
        <v>2.3.2</v>
      </c>
      <c r="F46" s="1568" t="str">
        <f>FHD_P_10</f>
        <v>Объём приобретения электрической энергии</v>
      </c>
      <c r="G46" s="1793" t="s">
        <v>574</v>
      </c>
      <c r="H46" s="492"/>
      <c r="I46" s="492"/>
      <c r="J46" s="225" t="str">
        <f>FHD_NOTE_P_10</f>
        <v/>
      </c>
      <c r="K46" s="1554" t="str">
        <f t="shared" si="0"/>
        <v/>
      </c>
      <c r="L46" s="1554"/>
      <c r="M46" s="1554"/>
      <c r="R46" s="1554"/>
      <c r="U46" s="479"/>
      <c r="AA46" s="1550"/>
      <c r="AB46" s="1550"/>
      <c r="AC46" s="1550"/>
      <c r="AD46" s="1550"/>
      <c r="AE46" s="1550"/>
      <c r="AF46" s="1078">
        <v>11</v>
      </c>
    </row>
    <row r="47" spans="1:32" s="2519" customFormat="1" ht="11.25" customHeight="1">
      <c r="A47" s="912" t="s">
        <v>575</v>
      </c>
      <c r="C47" s="1554"/>
      <c r="D47" s="510"/>
      <c r="E47" s="481" t="str">
        <f>FHD_NUM_P_11</f>
        <v>2.4</v>
      </c>
      <c r="F47" s="1442" t="str">
        <f>FHD_P_11</f>
        <v>Расходы на приобретение холодной воды, используемой в технологическом процессе</v>
      </c>
      <c r="G47" s="1793" t="s">
        <v>554</v>
      </c>
      <c r="H47" s="492"/>
      <c r="I47" s="492"/>
      <c r="J47" s="225" t="str">
        <f>FHD_NOTE_P_11</f>
        <v/>
      </c>
      <c r="K47" s="1554" t="str">
        <f t="shared" si="0"/>
        <v>p</v>
      </c>
      <c r="L47" s="1554"/>
      <c r="M47" s="1554"/>
      <c r="R47" s="1554"/>
      <c r="U47" s="479"/>
      <c r="AA47" s="1550"/>
      <c r="AB47" s="1550"/>
      <c r="AC47" s="1550"/>
      <c r="AD47" s="1550"/>
      <c r="AE47" s="1550"/>
      <c r="AF47" s="1078">
        <v>0</v>
      </c>
    </row>
    <row r="48" spans="1:32" s="2519" customFormat="1" ht="18.75" customHeight="1">
      <c r="A48" s="912" t="s">
        <v>576</v>
      </c>
      <c r="C48" s="1554"/>
      <c r="D48" s="1556"/>
      <c r="E48" s="481" t="str">
        <f>FHD_NUM_P_12</f>
        <v>2.5</v>
      </c>
      <c r="F48" s="1442" t="str">
        <f>FHD_P_12</f>
        <v>Расходы на  химические реагенты, используемые в технологическом процессе</v>
      </c>
      <c r="G48" s="1793" t="s">
        <v>554</v>
      </c>
      <c r="H48" s="512"/>
      <c r="I48" s="512"/>
      <c r="J48" s="225" t="str">
        <f>FHD_NOTE_P_12</f>
        <v/>
      </c>
      <c r="K48" s="1554" t="str">
        <f t="shared" si="0"/>
        <v>p</v>
      </c>
      <c r="L48" s="1554"/>
      <c r="M48" s="1554"/>
      <c r="R48" s="1554"/>
      <c r="U48" s="479"/>
      <c r="AA48" s="1550"/>
      <c r="AB48" s="1550"/>
      <c r="AC48" s="1550"/>
      <c r="AD48" s="1550"/>
      <c r="AE48" s="1550"/>
      <c r="AF48" s="1078">
        <v>18</v>
      </c>
    </row>
    <row r="49" spans="1:32" s="2553"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554</v>
      </c>
      <c r="H49" s="492"/>
      <c r="I49" s="492"/>
      <c r="J49" s="225" t="str">
        <f>FHD_NOTE_P_13</f>
        <v/>
      </c>
      <c r="K49" s="1554" t="str">
        <f t="shared" si="0"/>
        <v>p</v>
      </c>
      <c r="L49" s="665"/>
      <c r="M49" s="665"/>
      <c r="R49" s="665"/>
      <c r="U49" s="666"/>
      <c r="AA49" s="667"/>
      <c r="AB49" s="667"/>
      <c r="AC49" s="667"/>
      <c r="AD49" s="667"/>
      <c r="AE49" s="667"/>
      <c r="AF49" s="664">
        <v>11</v>
      </c>
    </row>
    <row r="50" spans="1:32" s="2553" customFormat="1" ht="11.45" customHeight="1">
      <c r="A50" s="911"/>
      <c r="C50" s="665"/>
      <c r="D50" s="608"/>
      <c r="E50" s="481" t="str">
        <f>FHD_NUM_P_14</f>
        <v>2.6.1</v>
      </c>
      <c r="F50" s="1568" t="str">
        <f>FHD_P_14</f>
        <v>Расходы на оплату труда основного производственного персонала</v>
      </c>
      <c r="G50" s="1793" t="s">
        <v>554</v>
      </c>
      <c r="H50" s="492"/>
      <c r="I50" s="492"/>
      <c r="J50" s="225" t="str">
        <f>FHD_NOTE_P_14</f>
        <v/>
      </c>
      <c r="K50" s="1554" t="str">
        <f t="shared" si="0"/>
        <v/>
      </c>
      <c r="L50" s="665"/>
      <c r="M50" s="665"/>
      <c r="R50" s="665"/>
      <c r="U50" s="666"/>
      <c r="AA50" s="667"/>
      <c r="AB50" s="667"/>
      <c r="AC50" s="667"/>
      <c r="AD50" s="667"/>
      <c r="AE50" s="667"/>
      <c r="AF50" s="664">
        <v>11</v>
      </c>
    </row>
    <row r="51" spans="1:32" s="2553"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554</v>
      </c>
      <c r="H51" s="492"/>
      <c r="I51" s="492"/>
      <c r="J51" s="225" t="str">
        <f>FHD_NOTE_P_15</f>
        <v/>
      </c>
      <c r="K51" s="1554" t="str">
        <f t="shared" si="0"/>
        <v/>
      </c>
      <c r="L51" s="665"/>
      <c r="M51" s="665"/>
      <c r="R51" s="665"/>
      <c r="U51" s="666"/>
      <c r="AA51" s="667"/>
      <c r="AB51" s="667"/>
      <c r="AC51" s="667"/>
      <c r="AD51" s="667"/>
      <c r="AE51" s="667"/>
      <c r="AF51" s="664">
        <v>11</v>
      </c>
    </row>
    <row r="52" spans="1:32" s="2519"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554</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519"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3" t="s">
        <v>554</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519"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554</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519" customFormat="1" ht="11.45" customHeight="1">
      <c r="A55" s="910"/>
      <c r="C55" s="1554"/>
      <c r="D55" s="510"/>
      <c r="E55" s="481" t="str">
        <f>FHD_NUM_P_19</f>
        <v>2.8</v>
      </c>
      <c r="F55" s="1442" t="str">
        <f>FHD_P_19</f>
        <v>Расходы на амортизацию основных средств и нематериальных активов</v>
      </c>
      <c r="G55" s="1793" t="s">
        <v>554</v>
      </c>
      <c r="H55" s="492"/>
      <c r="I55" s="492"/>
      <c r="J55" s="225" t="str">
        <f>FHD_NOTE_P_19</f>
        <v/>
      </c>
      <c r="K55" s="1554" t="str">
        <f t="shared" si="0"/>
        <v>p</v>
      </c>
      <c r="L55" s="1554"/>
      <c r="M55" s="1554"/>
      <c r="R55" s="1554"/>
      <c r="U55" s="479"/>
      <c r="AA55" s="1550"/>
      <c r="AB55" s="1550"/>
      <c r="AC55" s="1550"/>
      <c r="AD55" s="1550"/>
      <c r="AE55" s="1550"/>
      <c r="AF55" s="1078">
        <v>11</v>
      </c>
    </row>
    <row r="56" spans="1:32" s="2519" customFormat="1" ht="11.45" customHeight="1">
      <c r="A56" s="910"/>
      <c r="C56" s="1554"/>
      <c r="D56" s="510"/>
      <c r="E56" s="481" t="str">
        <f>FHD_NUM_P_20</f>
        <v>2.8.1</v>
      </c>
      <c r="F56" s="1568" t="str">
        <f>FHD_P_20</f>
        <v>Расходы на амортизацию основных средств</v>
      </c>
      <c r="G56" s="1793" t="s">
        <v>554</v>
      </c>
      <c r="H56" s="492"/>
      <c r="I56" s="492"/>
      <c r="J56" s="225" t="str">
        <f>FHD_NOTE_P_20</f>
        <v/>
      </c>
      <c r="K56" s="1554" t="str">
        <f t="shared" si="0"/>
        <v/>
      </c>
      <c r="L56" s="1554"/>
      <c r="M56" s="1554"/>
      <c r="R56" s="1554"/>
      <c r="U56" s="479"/>
      <c r="AA56" s="1550"/>
      <c r="AB56" s="1550"/>
      <c r="AC56" s="1550"/>
      <c r="AD56" s="1550"/>
      <c r="AE56" s="1550"/>
      <c r="AF56" s="1078">
        <v>11</v>
      </c>
    </row>
    <row r="57" spans="1:32" s="2519" customFormat="1" ht="11.45" customHeight="1">
      <c r="A57" s="910"/>
      <c r="C57" s="1554"/>
      <c r="D57" s="510"/>
      <c r="E57" s="481" t="str">
        <f>FHD_NUM_P_21</f>
        <v>2.8.2</v>
      </c>
      <c r="F57" s="1568" t="str">
        <f>FHD_P_21</f>
        <v>Расходы на амортизацию нематериальных активов</v>
      </c>
      <c r="G57" s="1793" t="s">
        <v>554</v>
      </c>
      <c r="H57" s="492"/>
      <c r="I57" s="492"/>
      <c r="J57" s="225" t="str">
        <f>FHD_NOTE_P_21</f>
        <v/>
      </c>
      <c r="K57" s="1554" t="str">
        <f t="shared" si="0"/>
        <v/>
      </c>
      <c r="L57" s="1554"/>
      <c r="M57" s="1554"/>
      <c r="R57" s="1554"/>
      <c r="U57" s="479"/>
      <c r="AA57" s="1550"/>
      <c r="AB57" s="1550"/>
      <c r="AC57" s="1550"/>
      <c r="AD57" s="1550"/>
      <c r="AE57" s="1550"/>
      <c r="AF57" s="1078">
        <v>11</v>
      </c>
    </row>
    <row r="58" spans="1:32" s="2519"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3" t="s">
        <v>554</v>
      </c>
      <c r="H58" s="492"/>
      <c r="I58" s="492"/>
      <c r="J58" s="225" t="str">
        <f>FHD_NOTE_P_22</f>
        <v/>
      </c>
      <c r="K58" s="1554" t="str">
        <f t="shared" si="0"/>
        <v>p</v>
      </c>
      <c r="L58" s="1554"/>
      <c r="M58" s="1554"/>
      <c r="R58" s="1554"/>
      <c r="U58" s="479"/>
      <c r="AA58" s="1550"/>
      <c r="AB58" s="1550"/>
      <c r="AC58" s="1550"/>
      <c r="AD58" s="1550"/>
      <c r="AE58" s="1550"/>
      <c r="AF58" s="1078">
        <v>11</v>
      </c>
    </row>
    <row r="59" spans="1:32" s="2519" customFormat="1" ht="11.45" customHeight="1">
      <c r="A59" s="910"/>
      <c r="C59" s="1554"/>
      <c r="D59" s="510"/>
      <c r="E59" s="481" t="str">
        <f>FHD_NUM_P_23</f>
        <v>2.10</v>
      </c>
      <c r="F59" s="1442" t="str">
        <f>FHD_P_23</f>
        <v>Общепроизводственные расходы, в том числе:</v>
      </c>
      <c r="G59" s="1793" t="s">
        <v>554</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519" customFormat="1" ht="11.45" customHeight="1">
      <c r="A60" s="910"/>
      <c r="C60" s="1554"/>
      <c r="D60" s="510"/>
      <c r="E60" s="481" t="str">
        <f>FHD_NUM_P_24</f>
        <v>2.10.1</v>
      </c>
      <c r="F60" s="1568" t="str">
        <f>FHD_P_24</f>
        <v>Расходы на текущий ремонт</v>
      </c>
      <c r="G60" s="1793" t="s">
        <v>554</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519" customFormat="1" ht="11.45" customHeight="1">
      <c r="A61" s="910"/>
      <c r="C61" s="1554"/>
      <c r="D61" s="510"/>
      <c r="E61" s="481" t="str">
        <f>FHD_NUM_P_25</f>
        <v>2.10.2</v>
      </c>
      <c r="F61" s="1568" t="str">
        <f>FHD_P_25</f>
        <v>Расходы на капитальный ремонт</v>
      </c>
      <c r="G61" s="1793" t="s">
        <v>554</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519" customFormat="1" ht="11.45" customHeight="1">
      <c r="A62" s="910"/>
      <c r="C62" s="1554"/>
      <c r="D62" s="1556"/>
      <c r="E62" s="481" t="str">
        <f>FHD_NUM_P_26</f>
        <v>2.11</v>
      </c>
      <c r="F62" s="1442" t="str">
        <f>FHD_P_26</f>
        <v>Общехозяйственные расходы, в том числе:</v>
      </c>
      <c r="G62" s="1793" t="s">
        <v>554</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519" customFormat="1" ht="11.45" customHeight="1">
      <c r="A63" s="910"/>
      <c r="C63" s="1554"/>
      <c r="D63" s="1556"/>
      <c r="E63" s="481" t="str">
        <f>FHD_NUM_P_27</f>
        <v>2.11.1</v>
      </c>
      <c r="F63" s="1568" t="str">
        <f>FHD_P_27</f>
        <v>Расходы на текущий ремонт</v>
      </c>
      <c r="G63" s="1793" t="s">
        <v>554</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519" customFormat="1" ht="11.45" customHeight="1">
      <c r="A64" s="910"/>
      <c r="C64" s="1554"/>
      <c r="D64" s="1556"/>
      <c r="E64" s="481" t="str">
        <f>FHD_NUM_P_28</f>
        <v>2.11.2</v>
      </c>
      <c r="F64" s="1568" t="str">
        <f>FHD_P_28</f>
        <v>Расходы на капитальный ремонт</v>
      </c>
      <c r="G64" s="1793" t="s">
        <v>554</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519" customFormat="1" ht="11.45" customHeight="1">
      <c r="A65" s="910"/>
      <c r="C65" s="1554"/>
      <c r="D65" s="1556"/>
      <c r="E65" s="481" t="str">
        <f>FHD_NUM_P_29</f>
        <v>2.12</v>
      </c>
      <c r="F65" s="1442" t="str">
        <f>FHD_P_29</f>
        <v>Расходы на капитальный и текущий ремонт основных средств</v>
      </c>
      <c r="G65" s="1793" t="s">
        <v>554</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519"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308</v>
      </c>
      <c r="H66" s="1567" t="s">
        <v>577</v>
      </c>
      <c r="I66" s="1567" t="s">
        <v>577</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519" customFormat="1" ht="23.25" hidden="1" customHeight="1">
      <c r="A67" s="2853" t="s">
        <v>578</v>
      </c>
      <c r="C67" s="1554"/>
      <c r="D67" s="1556"/>
      <c r="E67" s="481" t="str">
        <f>FHD_NUM_P_31</f>
        <v/>
      </c>
      <c r="F67" s="1442" t="str">
        <f>FHD_P_31</f>
        <v/>
      </c>
      <c r="G67" s="1793" t="s">
        <v>554</v>
      </c>
      <c r="H67" s="492"/>
      <c r="I67" s="492"/>
      <c r="J67" s="225" t="str">
        <f>FHD_NOTE_P_31</f>
        <v/>
      </c>
      <c r="K67" s="1554" t="str">
        <f t="shared" si="0"/>
        <v/>
      </c>
      <c r="L67" s="1554"/>
      <c r="M67" s="1554"/>
      <c r="R67" s="1554"/>
      <c r="U67" s="479"/>
      <c r="AA67" s="1550"/>
      <c r="AB67" s="1550"/>
      <c r="AC67" s="1550"/>
      <c r="AD67" s="1550"/>
      <c r="AE67" s="1550"/>
      <c r="AF67" s="1078">
        <v>22</v>
      </c>
    </row>
    <row r="68" spans="1:32" s="2519" customFormat="1" ht="47.25" hidden="1" customHeight="1">
      <c r="A68" s="2853"/>
      <c r="C68" s="1554"/>
      <c r="D68" s="1556"/>
      <c r="E68" s="481" t="str">
        <f>FHD_NUM_P_32</f>
        <v/>
      </c>
      <c r="F68" s="1568" t="str">
        <f>FHD_P_32</f>
        <v/>
      </c>
      <c r="G68" s="1793" t="s">
        <v>308</v>
      </c>
      <c r="H68" s="1567" t="s">
        <v>577</v>
      </c>
      <c r="I68" s="1567" t="s">
        <v>577</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519"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554</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520" customFormat="1" ht="1.1499999999999999" customHeight="1">
      <c r="A70" s="1085"/>
      <c r="D70" s="483"/>
      <c r="E70" s="935" t="str">
        <f>E69&amp;".0"</f>
        <v>2.13.0</v>
      </c>
      <c r="F70" s="914"/>
      <c r="G70" s="935"/>
      <c r="H70" s="915"/>
      <c r="I70" s="915"/>
      <c r="J70" s="916"/>
      <c r="K70" s="1554" t="str">
        <f t="shared" si="0"/>
        <v/>
      </c>
      <c r="AF70" s="1554">
        <v>1</v>
      </c>
    </row>
    <row r="71" spans="1:32" s="2519" customFormat="1" ht="14.65" customHeight="1">
      <c r="A71" s="910"/>
      <c r="C71" s="1554"/>
      <c r="D71" s="1551"/>
      <c r="E71" s="505"/>
      <c r="F71" s="506" t="s">
        <v>579</v>
      </c>
      <c r="G71" s="507"/>
      <c r="H71" s="508"/>
      <c r="I71" s="508"/>
      <c r="J71" s="237"/>
      <c r="K71" s="1554"/>
      <c r="L71" s="1554"/>
      <c r="M71" s="1554"/>
      <c r="R71" s="1554"/>
      <c r="U71" s="479"/>
      <c r="AA71" s="1550"/>
      <c r="AB71" s="1550"/>
      <c r="AC71" s="1550"/>
      <c r="AD71" s="1550"/>
      <c r="AE71" s="1550"/>
      <c r="AF71" s="1078">
        <v>14</v>
      </c>
    </row>
    <row r="72" spans="1:32" s="2519" customFormat="1" ht="18.75" customHeight="1">
      <c r="A72" s="912" t="s">
        <v>580</v>
      </c>
      <c r="C72" s="1554"/>
      <c r="D72" s="1556"/>
      <c r="E72" s="481" t="str">
        <f>FHD_NUM_P_34</f>
        <v>3</v>
      </c>
      <c r="F72" s="1795" t="str">
        <f>FHD_P_34</f>
        <v>Валовая прибыль (убытки) от реализации товаров и оказания услуг по регулируемому виду деятельности</v>
      </c>
      <c r="G72" s="1793" t="s">
        <v>554</v>
      </c>
      <c r="H72" s="492"/>
      <c r="I72" s="492"/>
      <c r="J72" s="225" t="str">
        <f>FHD_NOTE_P_34</f>
        <v/>
      </c>
      <c r="K72" s="478"/>
      <c r="L72" s="1554"/>
      <c r="M72" s="1554"/>
      <c r="R72" s="1554"/>
      <c r="U72" s="479"/>
      <c r="AA72" s="1550"/>
      <c r="AB72" s="1550"/>
      <c r="AC72" s="1550"/>
      <c r="AD72" s="1550"/>
      <c r="AE72" s="1550"/>
      <c r="AF72" s="1078">
        <v>0</v>
      </c>
    </row>
    <row r="73" spans="1:32" s="2519" customFormat="1" ht="19.899999999999999" customHeight="1">
      <c r="A73" s="910"/>
      <c r="C73" s="1554"/>
      <c r="D73" s="510"/>
      <c r="E73" s="481" t="str">
        <f>FHD_NUM_P_35</f>
        <v>4</v>
      </c>
      <c r="F73" s="1795" t="str">
        <f>FHD_P_35</f>
        <v>Чистая прибыль, полученная от регулируемого вида деятельности, в том числе:</v>
      </c>
      <c r="G73" s="1793" t="s">
        <v>554</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519"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554</v>
      </c>
      <c r="H74" s="492"/>
      <c r="I74" s="492"/>
      <c r="J74" s="225" t="str">
        <f>FHD_NOTE_P_36</f>
        <v/>
      </c>
      <c r="K74" s="478"/>
      <c r="L74" s="1554"/>
      <c r="M74" s="1554"/>
      <c r="R74" s="1554"/>
      <c r="U74" s="479"/>
      <c r="AA74" s="1550"/>
      <c r="AB74" s="1550"/>
      <c r="AC74" s="1550"/>
      <c r="AD74" s="1550"/>
      <c r="AE74" s="1550"/>
      <c r="AF74" s="1078">
        <v>19</v>
      </c>
    </row>
    <row r="75" spans="1:32" s="2519" customFormat="1" ht="19.899999999999999" customHeight="1">
      <c r="A75" s="910"/>
      <c r="C75" s="1554"/>
      <c r="D75" s="1556"/>
      <c r="E75" s="481" t="str">
        <f>FHD_NUM_P_37</f>
        <v>5</v>
      </c>
      <c r="F75" s="1795" t="str">
        <f>FHD_P_37</f>
        <v>Изменение стоимости основных фондов, в том числе:</v>
      </c>
      <c r="G75" s="1793" t="s">
        <v>554</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519" customFormat="1" ht="19.899999999999999" customHeight="1">
      <c r="A76" s="910"/>
      <c r="C76" s="1554"/>
      <c r="D76" s="1556"/>
      <c r="E76" s="481" t="str">
        <f>FHD_NUM_P_38</f>
        <v>5.1</v>
      </c>
      <c r="F76" s="1442" t="str">
        <f>FHD_P_38</f>
        <v>Изменение стоимости основных фондов за счет:</v>
      </c>
      <c r="G76" s="1793" t="s">
        <v>554</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519"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4" t="s">
        <v>554</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519" customFormat="1" ht="19.899999999999999" customHeight="1">
      <c r="A78" s="910"/>
      <c r="C78" s="1554"/>
      <c r="D78" s="1556"/>
      <c r="E78" s="481" t="str">
        <f>FHD_NUM_P_40</f>
        <v>5.1.2</v>
      </c>
      <c r="F78" s="1988" t="str">
        <f>FHD_P_40</f>
        <v>Изменения стоимости основных фондов за счет их вывода в эксплуатацию</v>
      </c>
      <c r="G78" s="1983" t="s">
        <v>554</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519" customFormat="1" ht="19.899999999999999" customHeight="1">
      <c r="A79" s="910"/>
      <c r="C79" s="1554"/>
      <c r="D79" s="1556"/>
      <c r="E79" s="481" t="str">
        <f>FHD_NUM_P_41</f>
        <v>5.2</v>
      </c>
      <c r="F79" s="1987" t="str">
        <f>FHD_P_41</f>
        <v>Изменение стоимости основных фондов за счет их переоценки</v>
      </c>
      <c r="G79" s="1983" t="s">
        <v>554</v>
      </c>
      <c r="H79" s="900"/>
      <c r="I79" s="492"/>
      <c r="J79" s="225" t="str">
        <f>FHD_NOTE_P_41</f>
        <v/>
      </c>
      <c r="K79" s="478"/>
      <c r="L79" s="1554"/>
      <c r="M79" s="1554"/>
      <c r="R79" s="1554"/>
      <c r="U79" s="479"/>
      <c r="AA79" s="1550"/>
      <c r="AB79" s="1550"/>
      <c r="AC79" s="1550"/>
      <c r="AD79" s="1550"/>
      <c r="AE79" s="1550"/>
      <c r="AF79" s="1078">
        <v>19</v>
      </c>
    </row>
    <row r="80" spans="1:32" s="2519" customFormat="1" ht="20.25" hidden="1" customHeight="1">
      <c r="A80" s="912" t="s">
        <v>581</v>
      </c>
      <c r="C80" s="1554"/>
      <c r="D80" s="1556"/>
      <c r="E80" s="481" t="str">
        <f>FHD_NUM_P_42</f>
        <v/>
      </c>
      <c r="F80" s="1985" t="str">
        <f>FHD_P_42</f>
        <v/>
      </c>
      <c r="G80" s="1983" t="s">
        <v>554</v>
      </c>
      <c r="H80" s="900"/>
      <c r="I80" s="492"/>
      <c r="J80" s="225" t="str">
        <f>FHD_NOTE_P_42</f>
        <v/>
      </c>
      <c r="K80" s="478"/>
      <c r="L80" s="1554"/>
      <c r="M80" s="1554"/>
      <c r="R80" s="1554"/>
      <c r="U80" s="479"/>
      <c r="AA80" s="1550"/>
      <c r="AB80" s="1550"/>
      <c r="AC80" s="1550"/>
      <c r="AD80" s="1550"/>
      <c r="AE80" s="1550"/>
      <c r="AF80" s="1078">
        <v>19</v>
      </c>
    </row>
    <row r="81" spans="1:32" s="2519" customFormat="1" ht="19.899999999999999" customHeight="1">
      <c r="A81" s="910"/>
      <c r="C81" s="1554"/>
      <c r="D81" s="1556"/>
      <c r="E81" s="481" t="str">
        <f>FHD_NUM_P_43</f>
        <v>6</v>
      </c>
      <c r="F81" s="1795" t="str">
        <f>FHD_P_43</f>
        <v>Годовая бухгалтерская (финансовая) отчетность, включая бухгалтерский баланс и приложения к нему</v>
      </c>
      <c r="G81" s="1986" t="s">
        <v>308</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519" customFormat="1" ht="18.75" hidden="1" customHeight="1">
      <c r="A82" s="2853" t="s">
        <v>582</v>
      </c>
      <c r="C82" s="670"/>
      <c r="D82" s="668"/>
      <c r="E82" s="481" t="str">
        <f>FHD_NUM_P_44</f>
        <v/>
      </c>
      <c r="F82" s="1795" t="str">
        <f>FHD_P_44</f>
        <v/>
      </c>
      <c r="G82" s="1796" t="s">
        <v>583</v>
      </c>
      <c r="H82" s="901"/>
      <c r="I82" s="512"/>
      <c r="J82" s="225" t="str">
        <f>FHD_NOTE_P_44</f>
        <v/>
      </c>
      <c r="K82" s="669"/>
      <c r="L82" s="670"/>
      <c r="M82" s="670"/>
      <c r="R82" s="670"/>
      <c r="U82" s="671"/>
      <c r="AA82" s="672"/>
      <c r="AB82" s="672"/>
      <c r="AC82" s="672"/>
      <c r="AD82" s="672"/>
      <c r="AE82" s="672"/>
      <c r="AF82" s="834">
        <v>0</v>
      </c>
    </row>
    <row r="83" spans="1:32" s="2519" customFormat="1" ht="18.75" hidden="1" customHeight="1">
      <c r="A83" s="2853"/>
      <c r="C83" s="670"/>
      <c r="D83" s="668"/>
      <c r="E83" s="481" t="str">
        <f>FHD_NUM_P_45</f>
        <v/>
      </c>
      <c r="F83" s="1795" t="str">
        <f>FHD_P_45</f>
        <v/>
      </c>
      <c r="G83" s="1796" t="s">
        <v>583</v>
      </c>
      <c r="H83" s="901"/>
      <c r="I83" s="512"/>
      <c r="J83" s="225" t="str">
        <f>FHD_NOTE_P_45</f>
        <v/>
      </c>
      <c r="K83" s="669"/>
      <c r="L83" s="670"/>
      <c r="M83" s="670"/>
      <c r="R83" s="670"/>
      <c r="U83" s="671"/>
      <c r="AA83" s="672"/>
      <c r="AB83" s="672"/>
      <c r="AC83" s="672"/>
      <c r="AD83" s="672"/>
      <c r="AE83" s="672"/>
      <c r="AF83" s="834">
        <v>0</v>
      </c>
    </row>
    <row r="84" spans="1:32" s="2519" customFormat="1" ht="18.75" hidden="1" customHeight="1">
      <c r="A84" s="2853"/>
      <c r="C84" s="670"/>
      <c r="D84" s="673"/>
      <c r="E84" s="481" t="str">
        <f>FHD_NUM_P_46</f>
        <v/>
      </c>
      <c r="F84" s="1795" t="str">
        <f>FHD_P_46</f>
        <v/>
      </c>
      <c r="G84" s="1796" t="s">
        <v>583</v>
      </c>
      <c r="H84" s="901"/>
      <c r="I84" s="512"/>
      <c r="J84" s="225" t="str">
        <f>FHD_NOTE_P_46</f>
        <v/>
      </c>
      <c r="K84" s="669"/>
      <c r="L84" s="670"/>
      <c r="M84" s="670"/>
      <c r="R84" s="670"/>
      <c r="U84" s="671"/>
      <c r="AA84" s="672"/>
      <c r="AB84" s="672"/>
      <c r="AC84" s="672"/>
      <c r="AD84" s="672"/>
      <c r="AE84" s="672"/>
      <c r="AF84" s="834">
        <v>0</v>
      </c>
    </row>
    <row r="85" spans="1:32" s="2519" customFormat="1" ht="18.75" hidden="1" customHeight="1">
      <c r="A85" s="2853"/>
      <c r="C85" s="670"/>
      <c r="D85" s="668"/>
      <c r="E85" s="481" t="str">
        <f>FHD_NUM_P_47</f>
        <v/>
      </c>
      <c r="F85" s="1795" t="str">
        <f>FHD_P_47</f>
        <v/>
      </c>
      <c r="G85" s="1796" t="s">
        <v>583</v>
      </c>
      <c r="H85" s="901"/>
      <c r="I85" s="512"/>
      <c r="J85" s="225" t="str">
        <f>FHD_NOTE_P_47</f>
        <v/>
      </c>
      <c r="K85" s="669"/>
      <c r="L85" s="670"/>
      <c r="M85" s="670"/>
      <c r="R85" s="670"/>
      <c r="U85" s="671"/>
      <c r="AA85" s="672"/>
      <c r="AB85" s="672"/>
      <c r="AC85" s="672"/>
      <c r="AD85" s="672"/>
      <c r="AE85" s="672"/>
      <c r="AF85" s="834">
        <v>0</v>
      </c>
    </row>
    <row r="86" spans="1:32" s="2513" customFormat="1" ht="18.75" hidden="1" customHeight="1">
      <c r="A86" s="2853"/>
      <c r="B86" s="834"/>
      <c r="C86" s="670"/>
      <c r="D86" s="668"/>
      <c r="E86" s="481" t="str">
        <f>FHD_NUM_P_48</f>
        <v/>
      </c>
      <c r="F86" s="1795" t="str">
        <f>FHD_P_48</f>
        <v/>
      </c>
      <c r="G86" s="1796" t="s">
        <v>583</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513" customFormat="1" ht="18.75" hidden="1" customHeight="1">
      <c r="A87" s="2853"/>
      <c r="B87" s="834"/>
      <c r="C87" s="670"/>
      <c r="D87" s="668"/>
      <c r="E87" s="481" t="str">
        <f>FHD_NUM_P_49</f>
        <v/>
      </c>
      <c r="F87" s="1795" t="str">
        <f>FHD_P_49</f>
        <v/>
      </c>
      <c r="G87" s="1796" t="s">
        <v>583</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513" customFormat="1" ht="18.75" hidden="1" customHeight="1">
      <c r="A88" s="2853"/>
      <c r="B88" s="834"/>
      <c r="C88" s="670"/>
      <c r="D88" s="668"/>
      <c r="E88" s="481" t="str">
        <f>FHD_NUM_P_50</f>
        <v/>
      </c>
      <c r="F88" s="1795" t="str">
        <f>FHD_P_50</f>
        <v/>
      </c>
      <c r="G88" s="1796" t="s">
        <v>583</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513" customFormat="1" ht="18.75" hidden="1" customHeight="1">
      <c r="A89" s="2853"/>
      <c r="B89" s="834"/>
      <c r="C89" s="670"/>
      <c r="D89" s="668"/>
      <c r="E89" s="481" t="str">
        <f>FHD_NUM_P_51</f>
        <v/>
      </c>
      <c r="F89" s="1795" t="str">
        <f>FHD_P_51</f>
        <v/>
      </c>
      <c r="G89" s="1796" t="s">
        <v>583</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513" customFormat="1" ht="18.75" hidden="1" customHeight="1">
      <c r="A90" s="2853"/>
      <c r="B90" s="834"/>
      <c r="C90" s="670"/>
      <c r="D90" s="668"/>
      <c r="E90" s="481" t="str">
        <f>FHD_NUM_P_52</f>
        <v/>
      </c>
      <c r="F90" s="1795" t="str">
        <f>FHD_P_52</f>
        <v/>
      </c>
      <c r="G90" s="1796" t="s">
        <v>560</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519" customFormat="1" ht="18.75" hidden="1" customHeight="1">
      <c r="A91" s="2853" t="s">
        <v>584</v>
      </c>
      <c r="C91" s="670"/>
      <c r="D91" s="668"/>
      <c r="E91" s="481" t="str">
        <f>FHD_NUM_P_53</f>
        <v/>
      </c>
      <c r="F91" s="1795" t="str">
        <f>FHD_P_53</f>
        <v/>
      </c>
      <c r="G91" s="1796" t="s">
        <v>583</v>
      </c>
      <c r="H91" s="901"/>
      <c r="I91" s="512"/>
      <c r="J91" s="225" t="str">
        <f>FHD_NOTE_P_53</f>
        <v/>
      </c>
      <c r="K91" s="669"/>
      <c r="L91" s="670"/>
      <c r="M91" s="670"/>
      <c r="R91" s="670"/>
      <c r="U91" s="671"/>
      <c r="AA91" s="672"/>
      <c r="AB91" s="672"/>
      <c r="AC91" s="672"/>
      <c r="AD91" s="672"/>
      <c r="AE91" s="672"/>
      <c r="AF91" s="834">
        <v>0</v>
      </c>
    </row>
    <row r="92" spans="1:32" s="2519" customFormat="1" ht="18.75" hidden="1" customHeight="1">
      <c r="A92" s="2853"/>
      <c r="C92" s="670"/>
      <c r="D92" s="668"/>
      <c r="E92" s="481" t="str">
        <f>FHD_NUM_P_54</f>
        <v/>
      </c>
      <c r="F92" s="1795" t="str">
        <f>FHD_P_54</f>
        <v/>
      </c>
      <c r="G92" s="1796" t="s">
        <v>583</v>
      </c>
      <c r="H92" s="901"/>
      <c r="I92" s="512"/>
      <c r="J92" s="225" t="str">
        <f>FHD_NOTE_P_54</f>
        <v/>
      </c>
      <c r="K92" s="669"/>
      <c r="L92" s="670"/>
      <c r="M92" s="670"/>
      <c r="R92" s="670"/>
      <c r="U92" s="671"/>
      <c r="AA92" s="672"/>
      <c r="AB92" s="672"/>
      <c r="AC92" s="672"/>
      <c r="AD92" s="672"/>
      <c r="AE92" s="672"/>
      <c r="AF92" s="834">
        <v>0</v>
      </c>
    </row>
    <row r="93" spans="1:32" s="2519" customFormat="1" ht="18.75" hidden="1" customHeight="1">
      <c r="A93" s="2853"/>
      <c r="C93" s="670"/>
      <c r="D93" s="673"/>
      <c r="E93" s="481" t="str">
        <f>FHD_NUM_P_55</f>
        <v/>
      </c>
      <c r="F93" s="1795" t="str">
        <f>FHD_P_55</f>
        <v/>
      </c>
      <c r="G93" s="1799"/>
      <c r="H93" s="901"/>
      <c r="I93" s="512"/>
      <c r="J93" s="225" t="str">
        <f>FHD_NOTE_P_55</f>
        <v/>
      </c>
      <c r="K93" s="669"/>
      <c r="L93" s="670"/>
      <c r="M93" s="670"/>
      <c r="R93" s="670"/>
      <c r="U93" s="671"/>
      <c r="AA93" s="672"/>
      <c r="AB93" s="672"/>
      <c r="AC93" s="672"/>
      <c r="AD93" s="672"/>
      <c r="AE93" s="672"/>
      <c r="AF93" s="834">
        <v>0</v>
      </c>
    </row>
    <row r="94" spans="1:32" s="2519" customFormat="1" ht="18.75" hidden="1" customHeight="1">
      <c r="A94" s="2853"/>
      <c r="C94" s="670"/>
      <c r="D94" s="668"/>
      <c r="E94" s="481" t="str">
        <f>FHD_NUM_P_56</f>
        <v/>
      </c>
      <c r="F94" s="1795" t="str">
        <f>FHD_P_56</f>
        <v/>
      </c>
      <c r="G94" s="1796" t="s">
        <v>585</v>
      </c>
      <c r="H94" s="901"/>
      <c r="I94" s="512"/>
      <c r="J94" s="225" t="str">
        <f>FHD_NOTE_P_56</f>
        <v/>
      </c>
      <c r="K94" s="669"/>
      <c r="L94" s="670"/>
      <c r="M94" s="670"/>
      <c r="R94" s="670"/>
      <c r="U94" s="671"/>
      <c r="AA94" s="672"/>
      <c r="AB94" s="672"/>
      <c r="AC94" s="672"/>
      <c r="AD94" s="672"/>
      <c r="AE94" s="672"/>
      <c r="AF94" s="834">
        <v>0</v>
      </c>
    </row>
    <row r="95" spans="1:32" s="2513" customFormat="1" ht="18.75" hidden="1" customHeight="1">
      <c r="A95" s="2853"/>
      <c r="B95" s="834"/>
      <c r="C95" s="670"/>
      <c r="D95" s="668"/>
      <c r="E95" s="481" t="str">
        <f>FHD_NUM_P_57</f>
        <v/>
      </c>
      <c r="F95" s="1795" t="str">
        <f>FHD_P_57</f>
        <v/>
      </c>
      <c r="G95" s="1796" t="s">
        <v>560</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853" t="s">
        <v>586</v>
      </c>
      <c r="D96" s="1556"/>
      <c r="E96" s="481" t="str">
        <f>FHD_NUM_P_58</f>
        <v/>
      </c>
      <c r="F96" s="1795" t="str">
        <f>FHD_P_58</f>
        <v/>
      </c>
      <c r="G96" s="1796" t="s">
        <v>583</v>
      </c>
      <c r="H96" s="901"/>
      <c r="I96" s="512"/>
      <c r="J96" s="225" t="str">
        <f>FHD_NOTE_P_58</f>
        <v/>
      </c>
      <c r="K96" s="478"/>
      <c r="AF96" s="1549">
        <v>0</v>
      </c>
    </row>
    <row r="97" spans="1:32" ht="18.75" hidden="1" customHeight="1">
      <c r="A97" s="2853"/>
      <c r="D97" s="1556"/>
      <c r="E97" s="481" t="str">
        <f>FHD_NUM_P_59</f>
        <v/>
      </c>
      <c r="F97" s="1795" t="str">
        <f>FHD_P_59</f>
        <v/>
      </c>
      <c r="G97" s="1796" t="s">
        <v>583</v>
      </c>
      <c r="H97" s="901"/>
      <c r="I97" s="512"/>
      <c r="J97" s="225" t="str">
        <f>FHD_NOTE_P_59</f>
        <v/>
      </c>
      <c r="K97" s="478"/>
      <c r="AF97" s="1549">
        <v>0</v>
      </c>
    </row>
    <row r="98" spans="1:32" ht="18.75" hidden="1" customHeight="1">
      <c r="A98" s="2853"/>
      <c r="D98" s="1556"/>
      <c r="E98" s="481" t="str">
        <f>FHD_NUM_P_60</f>
        <v/>
      </c>
      <c r="F98" s="1795" t="str">
        <f>FHD_P_60</f>
        <v/>
      </c>
      <c r="G98" s="1796" t="s">
        <v>583</v>
      </c>
      <c r="H98" s="901"/>
      <c r="I98" s="512"/>
      <c r="J98" s="225" t="str">
        <f>FHD_NOTE_P_60</f>
        <v/>
      </c>
      <c r="K98" s="478"/>
      <c r="AF98" s="1549">
        <v>0</v>
      </c>
    </row>
    <row r="99" spans="1:32" s="2519" customFormat="1" ht="18.75" customHeight="1">
      <c r="A99" s="2853" t="s">
        <v>587</v>
      </c>
      <c r="C99" s="1554"/>
      <c r="D99" s="1556"/>
      <c r="E99" s="481"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558</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520" customFormat="1" ht="0.75" customHeight="1">
      <c r="A100" s="2853"/>
      <c r="D100" s="483"/>
      <c r="E100" s="935" t="str">
        <f>E99&amp;".0"</f>
        <v>7.0</v>
      </c>
      <c r="F100" s="917"/>
      <c r="G100" s="918"/>
      <c r="H100" s="915"/>
      <c r="I100" s="915"/>
      <c r="J100" s="919"/>
      <c r="AF100" s="1554">
        <v>0</v>
      </c>
    </row>
    <row r="101" spans="1:32" ht="15" customHeight="1">
      <c r="A101" s="2853"/>
      <c r="D101" s="1551"/>
      <c r="E101" s="895"/>
      <c r="F101" s="896" t="s">
        <v>588</v>
      </c>
      <c r="G101" s="507"/>
      <c r="H101" s="508"/>
      <c r="I101" s="508"/>
      <c r="J101" s="926" t="s">
        <v>589</v>
      </c>
      <c r="K101" s="478"/>
      <c r="AF101" s="1549">
        <v>0</v>
      </c>
    </row>
    <row r="102" spans="1:32" s="2519" customFormat="1" ht="18.75" customHeight="1">
      <c r="A102" s="2853"/>
      <c r="C102" s="1554"/>
      <c r="D102" s="1556"/>
      <c r="E102" s="481" t="str">
        <f>FHD_NUM_P_62</f>
        <v>8</v>
      </c>
      <c r="F102" s="1795" t="str">
        <f>FHD_P_62</f>
        <v>Тепловая нагрузка по договорам, заключенным в рамках осуществления регулируемых видов деятельности</v>
      </c>
      <c r="G102" s="1792" t="s">
        <v>558</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519" customFormat="1" ht="18.75" customHeight="1">
      <c r="A103" s="2853"/>
      <c r="C103" s="1554"/>
      <c r="D103" s="1556"/>
      <c r="E103" s="481"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585</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519" customFormat="1" ht="18.75" customHeight="1">
      <c r="A104" s="2853"/>
      <c r="C104" s="1554" t="s">
        <v>590</v>
      </c>
      <c r="D104" s="1556"/>
      <c r="E104" s="481"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585</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519" customFormat="1" ht="18.75" customHeight="1">
      <c r="A105" s="2853"/>
      <c r="C105" s="1554"/>
      <c r="D105" s="1556"/>
      <c r="E105" s="481"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585</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519" customFormat="1" ht="18.75" customHeight="1">
      <c r="A106" s="2853"/>
      <c r="C106" s="1554"/>
      <c r="D106" s="1556"/>
      <c r="E106" s="481" t="str">
        <f>FHD_NUM_P_66</f>
        <v>10.1</v>
      </c>
      <c r="F106" s="1442" t="str">
        <f>FHD_P_66</f>
        <v xml:space="preserve">По приборам учёта </v>
      </c>
      <c r="G106" s="1792" t="s">
        <v>585</v>
      </c>
      <c r="H106" s="512"/>
      <c r="I106" s="512"/>
      <c r="J106" s="225" t="str">
        <f>FHD_NOTE_P_66</f>
        <v/>
      </c>
      <c r="K106" s="478"/>
      <c r="L106" s="1554"/>
      <c r="M106" s="1554"/>
      <c r="R106" s="1554"/>
      <c r="U106" s="479"/>
      <c r="AA106" s="1550"/>
      <c r="AB106" s="1550"/>
      <c r="AC106" s="1550"/>
      <c r="AD106" s="1550"/>
      <c r="AE106" s="1550"/>
      <c r="AF106" s="1078">
        <v>0</v>
      </c>
    </row>
    <row r="107" spans="1:32" s="2519" customFormat="1" ht="18.75" customHeight="1">
      <c r="A107" s="2853"/>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585</v>
      </c>
      <c r="H107" s="512"/>
      <c r="I107" s="512"/>
      <c r="J107" s="225" t="str">
        <f>FHD_NOTE_P_67</f>
        <v/>
      </c>
      <c r="K107" s="478"/>
      <c r="L107" s="1554"/>
      <c r="M107" s="1554"/>
      <c r="R107" s="1554"/>
      <c r="U107" s="479"/>
      <c r="AA107" s="1550"/>
      <c r="AB107" s="1550"/>
      <c r="AC107" s="1550"/>
      <c r="AD107" s="1550"/>
      <c r="AE107" s="1550"/>
      <c r="AF107" s="1078">
        <v>0</v>
      </c>
    </row>
    <row r="108" spans="1:32" s="2519" customFormat="1" ht="18.75" customHeight="1">
      <c r="A108" s="2853"/>
      <c r="C108" s="1554"/>
      <c r="D108" s="1556"/>
      <c r="E108" s="481" t="str">
        <f>FHD_NUM_P_68</f>
        <v>10.2</v>
      </c>
      <c r="F108" s="1442" t="str">
        <f>FHD_P_68</f>
        <v>Расчётным путём</v>
      </c>
      <c r="G108" s="1792" t="s">
        <v>585</v>
      </c>
      <c r="H108" s="512"/>
      <c r="I108" s="512"/>
      <c r="J108" s="225" t="str">
        <f>FHD_NOTE_P_68</f>
        <v/>
      </c>
      <c r="K108" s="478"/>
      <c r="L108" s="1554"/>
      <c r="M108" s="1554"/>
      <c r="R108" s="1554"/>
      <c r="U108" s="479"/>
      <c r="AA108" s="1550"/>
      <c r="AB108" s="1550"/>
      <c r="AC108" s="1550"/>
      <c r="AD108" s="1550"/>
      <c r="AE108" s="1550"/>
      <c r="AF108" s="1078">
        <v>0</v>
      </c>
    </row>
    <row r="109" spans="1:32" s="2519" customFormat="1" ht="18.75" customHeight="1">
      <c r="A109" s="2853"/>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2" t="s">
        <v>585</v>
      </c>
      <c r="H109" s="512"/>
      <c r="I109" s="512"/>
      <c r="J109" s="225" t="str">
        <f>FHD_NOTE_P_69</f>
        <v/>
      </c>
      <c r="K109" s="478"/>
      <c r="L109" s="1554"/>
      <c r="M109" s="1554"/>
      <c r="R109" s="1554"/>
      <c r="U109" s="479"/>
      <c r="AA109" s="1550"/>
      <c r="AB109" s="1550"/>
      <c r="AC109" s="1550"/>
      <c r="AD109" s="1550"/>
      <c r="AE109" s="1550"/>
      <c r="AF109" s="1078">
        <v>0</v>
      </c>
    </row>
    <row r="110" spans="1:32" s="2519" customFormat="1" ht="22.5" customHeight="1">
      <c r="A110" s="2853"/>
      <c r="C110" s="1554"/>
      <c r="D110" s="1556"/>
      <c r="E110" s="481"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591</v>
      </c>
      <c r="H110" s="492"/>
      <c r="I110" s="492"/>
      <c r="J110" s="225" t="str">
        <f>FHD_NOTE_P_70</f>
        <v/>
      </c>
      <c r="K110" s="478"/>
      <c r="L110" s="1554"/>
      <c r="M110" s="1554"/>
      <c r="R110" s="1554"/>
      <c r="U110" s="479"/>
      <c r="AA110" s="1550"/>
      <c r="AB110" s="1550"/>
      <c r="AC110" s="1550"/>
      <c r="AD110" s="1550"/>
      <c r="AE110" s="1550"/>
      <c r="AF110" s="1078">
        <v>0</v>
      </c>
    </row>
    <row r="111" spans="1:32" s="2519" customFormat="1" ht="22.5" customHeight="1">
      <c r="A111" s="2853"/>
      <c r="C111" s="1554"/>
      <c r="D111" s="1556"/>
      <c r="E111" s="481" t="str">
        <f>FHD_NUM_P_71</f>
        <v>12</v>
      </c>
      <c r="F111" s="1795" t="str">
        <f>FHD_P_71</f>
        <v>Фактический объем потерь при передаче тепловой энергии</v>
      </c>
      <c r="G111" s="1792" t="s">
        <v>591</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5" t="str">
        <f>FHD_P_72</f>
        <v>Среднесписочная численность основного производственного персонала</v>
      </c>
      <c r="G112" s="1791" t="s">
        <v>592</v>
      </c>
      <c r="H112" s="512"/>
      <c r="I112" s="512"/>
      <c r="J112" s="225" t="str">
        <f>FHD_NOTE_P_72</f>
        <v/>
      </c>
      <c r="K112" s="478"/>
      <c r="AF112" s="1549">
        <v>19</v>
      </c>
    </row>
    <row r="113" spans="1:32" ht="18.75" customHeight="1">
      <c r="A113" s="912" t="s">
        <v>593</v>
      </c>
      <c r="D113" s="1556"/>
      <c r="E113" s="481" t="str">
        <f>FHD_NUM_P_73</f>
        <v>14</v>
      </c>
      <c r="F113" s="1795" t="str">
        <f>FHD_P_73</f>
        <v>Среднесписочная численность административно-управленческого персонала</v>
      </c>
      <c r="G113" s="894" t="s">
        <v>592</v>
      </c>
      <c r="H113" s="892"/>
      <c r="I113" s="892"/>
      <c r="J113" s="225" t="str">
        <f>FHD_NOTE_P_73</f>
        <v/>
      </c>
      <c r="K113" s="478"/>
      <c r="AF113" s="1549">
        <v>0</v>
      </c>
    </row>
    <row r="114" spans="1:32" ht="33.75" hidden="1" customHeight="1">
      <c r="A114" s="912" t="s">
        <v>594</v>
      </c>
      <c r="D114" s="1556"/>
      <c r="E114" s="481" t="str">
        <f>FHD_NUM_P_74</f>
        <v/>
      </c>
      <c r="F114" s="1795" t="str">
        <f>FHD_P_74</f>
        <v/>
      </c>
      <c r="G114" s="1791" t="s">
        <v>595</v>
      </c>
      <c r="H114" s="512"/>
      <c r="I114" s="512"/>
      <c r="J114" s="225" t="str">
        <f>FHD_NOTE_P_74</f>
        <v/>
      </c>
      <c r="K114" s="478"/>
      <c r="AF114" s="1549">
        <v>0</v>
      </c>
    </row>
    <row r="115" spans="1:32" s="2513" customFormat="1" ht="18.75" hidden="1" customHeight="1">
      <c r="A115" s="2853" t="s">
        <v>596</v>
      </c>
      <c r="B115" s="834"/>
      <c r="C115" s="670"/>
      <c r="D115" s="668"/>
      <c r="E115" s="481" t="str">
        <f>FHD_NUM_P_75</f>
        <v/>
      </c>
      <c r="F115" s="1795" t="str">
        <f>FHD_P_75</f>
        <v/>
      </c>
      <c r="G115" s="1791" t="s">
        <v>560</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513" customFormat="1" ht="18.75" hidden="1" customHeight="1">
      <c r="A116" s="2853"/>
      <c r="B116" s="834"/>
      <c r="C116" s="670"/>
      <c r="D116" s="668"/>
      <c r="E116" s="481" t="str">
        <f>FHD_NUM_P_76</f>
        <v/>
      </c>
      <c r="F116" s="1795" t="str">
        <f>FHD_P_76</f>
        <v/>
      </c>
      <c r="G116" s="1791" t="s">
        <v>560</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513" customFormat="1" ht="18.75" hidden="1" customHeight="1">
      <c r="A117" s="2853"/>
      <c r="B117" s="834"/>
      <c r="C117" s="670"/>
      <c r="D117" s="668"/>
      <c r="E117" s="481" t="str">
        <f>FHD_NUM_P_77</f>
        <v/>
      </c>
      <c r="F117" s="1795" t="str">
        <f>FHD_P_77</f>
        <v/>
      </c>
      <c r="G117" s="1791" t="s">
        <v>560</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520" customFormat="1" ht="0.75" hidden="1" customHeight="1">
      <c r="A118" s="2853"/>
      <c r="D118" s="483"/>
      <c r="E118" s="935" t="str">
        <f>E117&amp;".0"</f>
        <v>.0</v>
      </c>
      <c r="F118" s="920"/>
      <c r="G118" s="1569"/>
      <c r="H118" s="915"/>
      <c r="I118" s="915"/>
      <c r="J118" s="919"/>
      <c r="AF118" s="1554">
        <v>0</v>
      </c>
    </row>
    <row r="119" spans="1:32" s="2513" customFormat="1" ht="15" hidden="1" customHeight="1">
      <c r="A119" s="2853"/>
      <c r="B119" s="834"/>
      <c r="C119" s="670"/>
      <c r="D119" s="681"/>
      <c r="E119" s="897"/>
      <c r="F119" s="898" t="s">
        <v>597</v>
      </c>
      <c r="G119" s="682"/>
      <c r="H119" s="683"/>
      <c r="I119" s="683"/>
      <c r="J119" s="925" t="s">
        <v>598</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2853" t="s">
        <v>599</v>
      </c>
      <c r="D120" s="1556"/>
      <c r="E120" s="481"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562</v>
      </c>
      <c r="H120" s="512"/>
      <c r="I120" s="512"/>
      <c r="J120" s="225" t="str">
        <f>FHD_NOTE_P_78</f>
        <v/>
      </c>
      <c r="K120" s="478"/>
      <c r="AF120" s="1549">
        <v>0</v>
      </c>
    </row>
    <row r="121" spans="1:32" s="2520" customFormat="1" ht="0.75" customHeight="1">
      <c r="A121" s="2853"/>
      <c r="D121" s="483"/>
      <c r="E121" s="935" t="str">
        <f>E120&amp;".0"</f>
        <v>15.0</v>
      </c>
      <c r="F121" s="920"/>
      <c r="G121" s="1569"/>
      <c r="H121" s="915"/>
      <c r="I121" s="915"/>
      <c r="J121" s="919"/>
      <c r="AF121" s="1554">
        <v>0</v>
      </c>
    </row>
    <row r="122" spans="1:32" ht="15" customHeight="1">
      <c r="A122" s="2853"/>
      <c r="D122" s="1551"/>
      <c r="E122" s="505"/>
      <c r="F122" s="1086" t="s">
        <v>588</v>
      </c>
      <c r="G122" s="507"/>
      <c r="H122" s="508"/>
      <c r="I122" s="508"/>
      <c r="J122" s="926" t="s">
        <v>600</v>
      </c>
      <c r="K122" s="478"/>
      <c r="AF122" s="1549">
        <v>0</v>
      </c>
    </row>
    <row r="123" spans="1:32" ht="22.5" customHeight="1">
      <c r="A123" s="2853"/>
      <c r="D123" s="1556"/>
      <c r="E123" s="481"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564</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520" customFormat="1" ht="0.75" customHeight="1">
      <c r="A124" s="2853"/>
      <c r="D124" s="483"/>
      <c r="E124" s="935" t="str">
        <f>E123&amp;".0"</f>
        <v>16.0</v>
      </c>
      <c r="F124" s="921"/>
      <c r="G124" s="1569"/>
      <c r="H124" s="915"/>
      <c r="I124" s="915"/>
      <c r="J124" s="919"/>
      <c r="AF124" s="1554">
        <v>0</v>
      </c>
    </row>
    <row r="125" spans="1:32" ht="15" customHeight="1">
      <c r="A125" s="2853"/>
      <c r="D125" s="1551"/>
      <c r="E125" s="505"/>
      <c r="F125" s="1086" t="s">
        <v>588</v>
      </c>
      <c r="G125" s="507"/>
      <c r="H125" s="508"/>
      <c r="I125" s="508"/>
      <c r="J125" s="926" t="s">
        <v>601</v>
      </c>
      <c r="K125" s="478"/>
      <c r="AF125" s="1549">
        <v>0</v>
      </c>
    </row>
    <row r="126" spans="1:32" ht="22.5" customHeight="1">
      <c r="A126" s="2853"/>
      <c r="D126" s="1556"/>
      <c r="E126" s="481"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602</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2853"/>
      <c r="D127" s="1556"/>
      <c r="E127" s="481"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603</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2853"/>
      <c r="C128" s="1554" t="s">
        <v>590</v>
      </c>
      <c r="D128" s="1556"/>
      <c r="E128" s="481"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308</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2853"/>
      <c r="C129" s="1554" t="s">
        <v>590</v>
      </c>
      <c r="D129" s="1556"/>
      <c r="E129" s="481" t="str">
        <f>FHD_NUM_P_83</f>
        <v>19.1</v>
      </c>
      <c r="F129" s="1442" t="str">
        <f>FHD_P_83</f>
        <v>Информация о показателях физического износа объектов теплоснабжения</v>
      </c>
      <c r="G129" s="1793" t="s">
        <v>308</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2853"/>
      <c r="C130" s="1554" t="s">
        <v>590</v>
      </c>
      <c r="D130" s="1556"/>
      <c r="E130" s="481" t="str">
        <f>FHD_NUM_P_84</f>
        <v>19.2</v>
      </c>
      <c r="F130" s="1442" t="str">
        <f>FHD_P_84</f>
        <v>Информация о показателях энергетической эффективности объектов теплоснабжения</v>
      </c>
      <c r="G130" s="1793" t="s">
        <v>308</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2544"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544"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544"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544"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544"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544"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544"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544"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544"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544"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544"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544"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544"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544"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544"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544"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544"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544"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544"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544"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544"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544"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544"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544"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544"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544"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544"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544"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544"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544"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544"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544"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544"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544"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544"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544"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544"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544"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544"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544"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544"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544"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544"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544"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544"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544"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544"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544"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544"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544"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544"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544"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544"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544"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544"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544"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544"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544"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544"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544"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544"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544"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544"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544"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544"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544"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544"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544"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544"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544"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544"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544"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544"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544"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544"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544"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544"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544"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544"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544"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544"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544"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544"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544"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544"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544"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544"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544"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544"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544"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544"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544"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544"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544"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544"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544"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544"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544"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544"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544"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544"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544"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544"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544"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544"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544"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544"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544"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544"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544"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544"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544"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544"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544"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544"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544"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544"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544"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544"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544"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544"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544"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544"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544"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544"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544"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544"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544"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544"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544"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544"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544"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544"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544"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544"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544"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544"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544"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544"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544"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544"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544"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544"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544"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544"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544"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544"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544"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544"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544"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544"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544"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544"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544"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544"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544"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81</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556" hidden="1" customWidth="1"/>
    <col min="2" max="2" width="17" style="2511" hidden="1" customWidth="1"/>
    <col min="3" max="3" width="3" style="2513" customWidth="1"/>
    <col min="4" max="4" width="1.85546875" style="2513" hidden="1" customWidth="1"/>
    <col min="5" max="6" width="7" style="2513" customWidth="1"/>
    <col min="7" max="7" width="29" style="2513" customWidth="1"/>
    <col min="8" max="8" width="3.7109375" style="2513" customWidth="1"/>
    <col min="9" max="9" width="5" style="2513" customWidth="1"/>
    <col min="10" max="11" width="24" style="2513" customWidth="1"/>
    <col min="12" max="12" width="3" style="2513" customWidth="1"/>
    <col min="13" max="13" width="6" style="2513" customWidth="1"/>
    <col min="14" max="14" width="25" style="2513" customWidth="1"/>
    <col min="15" max="18" width="18" style="2513" customWidth="1"/>
    <col min="19" max="19" width="93" style="2513" customWidth="1"/>
    <col min="20" max="20" width="10" style="2513" customWidth="1"/>
    <col min="21" max="21" width="10" style="2520" customWidth="1"/>
    <col min="22" max="22" width="11" style="2520" customWidth="1"/>
    <col min="23" max="27" width="10" style="2511" customWidth="1"/>
    <col min="28" max="83" width="8" style="2513" customWidth="1"/>
    <col min="84" max="84" width="9.140625" style="2513"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749" t="str">
        <f>FHD20_NAME_FORM</f>
        <v>Форма 11. Информация о расходах на капитальный и текущий ремонт основных средств</v>
      </c>
      <c r="F5" s="2749"/>
      <c r="G5" s="2749"/>
      <c r="H5" s="2749"/>
      <c r="I5" s="2749"/>
      <c r="J5" s="2749"/>
      <c r="K5" s="2749"/>
      <c r="L5" s="548"/>
      <c r="M5" s="548"/>
      <c r="CF5" s="440">
        <v>28</v>
      </c>
    </row>
    <row r="6" spans="1:84" s="2513" customFormat="1" ht="16.899999999999999" customHeight="1">
      <c r="A6" s="545"/>
      <c r="B6" s="692"/>
      <c r="C6" s="444"/>
      <c r="D6" s="980"/>
      <c r="E6" s="2696" t="str">
        <f>IF(org=0,"Не определено",org)</f>
        <v>ООО "Ноябрьская ПГЭ"</v>
      </c>
      <c r="F6" s="2696"/>
      <c r="G6" s="2696"/>
      <c r="H6" s="2696"/>
      <c r="I6" s="2696"/>
      <c r="J6" s="2696"/>
      <c r="K6" s="2696"/>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544"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610" t="s">
        <v>302</v>
      </c>
      <c r="F9" s="2615"/>
      <c r="G9" s="2615"/>
      <c r="H9" s="2615"/>
      <c r="I9" s="2615"/>
      <c r="J9" s="2615"/>
      <c r="K9" s="2615"/>
      <c r="L9" s="2615"/>
      <c r="M9" s="2615"/>
      <c r="N9" s="2615"/>
      <c r="O9" s="2615"/>
      <c r="P9" s="2615"/>
      <c r="Q9" s="2615"/>
      <c r="R9" s="2609"/>
      <c r="S9" s="2638" t="s">
        <v>303</v>
      </c>
      <c r="T9" s="270"/>
      <c r="CF9" s="440">
        <v>19</v>
      </c>
    </row>
    <row r="10" spans="1:84" ht="48.2" customHeight="1">
      <c r="D10" s="486" t="s">
        <v>87</v>
      </c>
      <c r="E10" s="2638" t="s">
        <v>87</v>
      </c>
      <c r="F10" s="2638"/>
      <c r="G10" s="456" t="s">
        <v>304</v>
      </c>
      <c r="H10" s="2638" t="s">
        <v>87</v>
      </c>
      <c r="I10" s="2638"/>
      <c r="J10" s="456" t="s">
        <v>604</v>
      </c>
      <c r="K10" s="456" t="s">
        <v>605</v>
      </c>
      <c r="L10" s="2638" t="s">
        <v>87</v>
      </c>
      <c r="M10" s="2638"/>
      <c r="N10" s="456" t="s">
        <v>606</v>
      </c>
      <c r="O10" s="456" t="s">
        <v>607</v>
      </c>
      <c r="P10" s="456" t="s">
        <v>608</v>
      </c>
      <c r="Q10" s="456" t="s">
        <v>609</v>
      </c>
      <c r="R10" s="456" t="s">
        <v>610</v>
      </c>
      <c r="S10" s="2638"/>
      <c r="T10" s="270"/>
      <c r="CF10" s="440">
        <v>46</v>
      </c>
    </row>
    <row r="11" spans="1:84" s="2520" customFormat="1" ht="15" hidden="1" customHeight="1">
      <c r="A11" s="974"/>
      <c r="D11" s="947" t="s">
        <v>108</v>
      </c>
      <c r="E11" s="947"/>
      <c r="F11" s="947" t="s">
        <v>109</v>
      </c>
      <c r="G11" s="947" t="s">
        <v>89</v>
      </c>
      <c r="H11" s="947"/>
      <c r="I11" s="947" t="s">
        <v>90</v>
      </c>
      <c r="J11" s="947" t="s">
        <v>110</v>
      </c>
      <c r="K11" s="947" t="s">
        <v>91</v>
      </c>
      <c r="L11" s="947"/>
      <c r="M11" s="947" t="s">
        <v>92</v>
      </c>
      <c r="N11" s="947" t="s">
        <v>111</v>
      </c>
      <c r="O11" s="947" t="s">
        <v>147</v>
      </c>
      <c r="P11" s="947" t="s">
        <v>148</v>
      </c>
      <c r="Q11" s="947" t="s">
        <v>149</v>
      </c>
      <c r="R11" s="947" t="s">
        <v>98</v>
      </c>
      <c r="S11" s="947" t="s">
        <v>150</v>
      </c>
      <c r="U11" s="546"/>
      <c r="V11" s="546"/>
      <c r="W11" s="546"/>
      <c r="CF11" s="446">
        <v>0</v>
      </c>
    </row>
    <row r="12" spans="1:84" s="2513" customFormat="1" ht="1.1499999999999999" customHeight="1">
      <c r="A12" s="550"/>
      <c r="B12" s="297"/>
      <c r="D12" s="483"/>
      <c r="E12" s="282"/>
      <c r="F12" s="282"/>
      <c r="Q12" s="551"/>
      <c r="R12" s="552"/>
      <c r="T12" s="553"/>
      <c r="U12" s="554"/>
      <c r="V12" s="554"/>
      <c r="W12" s="555"/>
      <c r="X12" s="297"/>
      <c r="Y12" s="297"/>
      <c r="Z12" s="297"/>
      <c r="AA12" s="297"/>
      <c r="CF12" s="444">
        <v>1</v>
      </c>
    </row>
    <row r="13" spans="1:84" s="2544" customFormat="1" ht="1.1499999999999999" customHeight="1">
      <c r="A13" s="556"/>
      <c r="B13" s="501"/>
      <c r="D13" s="483" t="s">
        <v>378</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523" customFormat="1" ht="15" hidden="1" customHeight="1">
      <c r="A14" s="558" t="s">
        <v>116</v>
      </c>
      <c r="B14" s="559"/>
      <c r="C14" s="559"/>
      <c r="D14" s="2860" t="s">
        <v>108</v>
      </c>
      <c r="E14" s="2857" t="s">
        <v>104</v>
      </c>
      <c r="F14" s="2858"/>
      <c r="G14" s="2859"/>
      <c r="H14" s="2863">
        <f>IF(A14="","",INDEX(DIFFERENTIATION_UNMERGE_VD,MATCH(A14,DIFFERENTIATION_ID_DIFF,0)))</f>
        <v>0</v>
      </c>
      <c r="I14" s="2863"/>
      <c r="J14" s="2863"/>
      <c r="K14" s="2863"/>
      <c r="L14" s="2863"/>
      <c r="M14" s="2863"/>
      <c r="N14" s="2863"/>
      <c r="O14" s="2863"/>
      <c r="P14" s="2863"/>
      <c r="Q14" s="2863"/>
      <c r="R14" s="2863"/>
      <c r="S14" s="654"/>
      <c r="T14" s="651"/>
      <c r="U14" s="560"/>
      <c r="V14" s="560"/>
      <c r="W14" s="561"/>
      <c r="X14" s="561"/>
      <c r="Y14" s="561"/>
      <c r="Z14" s="561"/>
      <c r="AA14" s="562"/>
      <c r="AB14" s="563"/>
      <c r="AC14" s="2855"/>
      <c r="AD14" s="564"/>
      <c r="AE14" s="565" t="s">
        <v>28</v>
      </c>
      <c r="AF14" s="565"/>
      <c r="AG14" s="566" t="s">
        <v>611</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523" customFormat="1" ht="15" hidden="1" customHeight="1">
      <c r="A15" s="558"/>
      <c r="B15" s="559"/>
      <c r="C15" s="559"/>
      <c r="D15" s="2861"/>
      <c r="E15" s="2857" t="s">
        <v>566</v>
      </c>
      <c r="F15" s="2858"/>
      <c r="G15" s="2859"/>
      <c r="H15" s="2863" t="str">
        <f>IF(A14="","",INDEX(DIFFERENTIATION_UNMERGE_AREA,MATCH(A14,DIFFERENTIATION_ID_DIFF,0)))</f>
        <v/>
      </c>
      <c r="I15" s="2863"/>
      <c r="J15" s="2863"/>
      <c r="K15" s="2863"/>
      <c r="L15" s="2863"/>
      <c r="M15" s="2863"/>
      <c r="N15" s="2863"/>
      <c r="O15" s="2863"/>
      <c r="P15" s="2863"/>
      <c r="Q15" s="2863"/>
      <c r="R15" s="2863"/>
      <c r="S15" s="654"/>
      <c r="T15" s="651"/>
      <c r="U15" s="560"/>
      <c r="V15" s="560"/>
      <c r="W15" s="561"/>
      <c r="X15" s="561"/>
      <c r="Y15" s="561"/>
      <c r="Z15" s="561"/>
      <c r="AA15" s="562"/>
      <c r="AB15" s="563"/>
      <c r="AC15" s="2855"/>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523" customFormat="1" ht="15" hidden="1" customHeight="1">
      <c r="A16" s="558"/>
      <c r="B16" s="559"/>
      <c r="C16" s="559"/>
      <c r="D16" s="2861"/>
      <c r="E16" s="2857" t="s">
        <v>567</v>
      </c>
      <c r="F16" s="2858"/>
      <c r="G16" s="2859"/>
      <c r="H16" s="2863" t="str">
        <f>IF(A14="","",INDEX(DIFFERENTIATION_UNMERGE_SYSTEM,MATCH(A14,DIFFERENTIATION_ID_DIFF,0)))</f>
        <v>без дифференциации</v>
      </c>
      <c r="I16" s="2863"/>
      <c r="J16" s="2863"/>
      <c r="K16" s="2863"/>
      <c r="L16" s="2863"/>
      <c r="M16" s="2863"/>
      <c r="N16" s="2863"/>
      <c r="O16" s="2863"/>
      <c r="P16" s="2863"/>
      <c r="Q16" s="2863"/>
      <c r="R16" s="2863"/>
      <c r="S16" s="654"/>
      <c r="T16" s="651"/>
      <c r="U16" s="560"/>
      <c r="V16" s="560"/>
      <c r="W16" s="561"/>
      <c r="X16" s="561"/>
      <c r="Y16" s="561"/>
      <c r="Z16" s="561"/>
      <c r="AA16" s="562"/>
      <c r="AB16" s="563"/>
      <c r="AC16" s="2855"/>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523" customFormat="1" ht="22.5" hidden="1" customHeight="1">
      <c r="A17" s="568"/>
      <c r="B17" s="352"/>
      <c r="C17" s="347"/>
      <c r="D17" s="2861"/>
      <c r="E17" s="2856" t="s">
        <v>612</v>
      </c>
      <c r="F17" s="2856"/>
      <c r="G17" s="2856"/>
      <c r="H17" s="2856"/>
      <c r="I17" s="2856"/>
      <c r="J17" s="2856"/>
      <c r="K17" s="2856"/>
      <c r="L17" s="2856"/>
      <c r="M17" s="2856"/>
      <c r="N17" s="2856"/>
      <c r="O17" s="2856"/>
      <c r="P17" s="2856"/>
      <c r="Q17" s="493">
        <f>SUMIF(T18:T19,"i",Q18:Q19)</f>
        <v>0</v>
      </c>
      <c r="R17" s="939"/>
      <c r="S17" s="821" t="s">
        <v>613</v>
      </c>
      <c r="T17" s="652" t="s">
        <v>614</v>
      </c>
      <c r="U17" s="2777">
        <v>1</v>
      </c>
      <c r="V17" s="2777" t="str">
        <f>INDEX(B_FHD_FLAG_INDEX_1,1,MATCH(A14,B_FHD_FLAG_DIFFERENTIATION,0))</f>
        <v>отсутствует</v>
      </c>
      <c r="W17" s="352"/>
      <c r="X17" s="352"/>
      <c r="Y17" s="352"/>
      <c r="Z17" s="352"/>
      <c r="AA17" s="446"/>
      <c r="AB17" s="352"/>
      <c r="AC17" s="2855"/>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523" customFormat="1" ht="11.25" hidden="1" customHeight="1">
      <c r="A18" s="569"/>
      <c r="B18" s="446"/>
      <c r="C18" s="446"/>
      <c r="D18" s="2861"/>
      <c r="E18" s="570"/>
      <c r="F18" s="570">
        <v>0</v>
      </c>
      <c r="G18" s="570"/>
      <c r="H18" s="570"/>
      <c r="I18" s="570"/>
      <c r="J18" s="570"/>
      <c r="K18" s="570"/>
      <c r="L18" s="570"/>
      <c r="M18" s="570"/>
      <c r="N18" s="570"/>
      <c r="O18" s="570"/>
      <c r="P18" s="570"/>
      <c r="Q18" s="570"/>
      <c r="R18" s="570"/>
      <c r="S18" s="571"/>
      <c r="T18" s="653"/>
      <c r="U18" s="2777"/>
      <c r="V18" s="2777"/>
      <c r="W18" s="446"/>
      <c r="X18" s="446"/>
      <c r="Y18" s="446"/>
      <c r="Z18" s="446"/>
      <c r="AA18" s="446"/>
      <c r="AB18" s="352"/>
      <c r="AC18" s="2855"/>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523" customFormat="1" ht="11.25" hidden="1" customHeight="1">
      <c r="A19" s="568"/>
      <c r="B19" s="352"/>
      <c r="C19" s="347"/>
      <c r="D19" s="2861"/>
      <c r="E19" s="584" t="s">
        <v>28</v>
      </c>
      <c r="F19" s="585" t="s">
        <v>28</v>
      </c>
      <c r="G19" s="585" t="s">
        <v>28</v>
      </c>
      <c r="H19" s="586" t="s">
        <v>28</v>
      </c>
      <c r="I19" s="586"/>
      <c r="J19" s="586"/>
      <c r="K19" s="586"/>
      <c r="L19" s="586"/>
      <c r="M19" s="586"/>
      <c r="N19" s="586"/>
      <c r="O19" s="586"/>
      <c r="P19" s="586"/>
      <c r="Q19" s="586"/>
      <c r="R19" s="587"/>
      <c r="S19" s="942"/>
      <c r="T19" s="653"/>
      <c r="U19" s="2777"/>
      <c r="V19" s="2777"/>
      <c r="W19" s="352"/>
      <c r="X19" s="352"/>
      <c r="Y19" s="352"/>
      <c r="Z19" s="352"/>
      <c r="AA19" s="446"/>
      <c r="AB19" s="352"/>
      <c r="AC19" s="2855"/>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523" customFormat="1" ht="22.5" hidden="1" customHeight="1">
      <c r="A20" s="568"/>
      <c r="B20" s="352"/>
      <c r="C20" s="347"/>
      <c r="D20" s="2861"/>
      <c r="E20" s="2856" t="s">
        <v>615</v>
      </c>
      <c r="F20" s="2856"/>
      <c r="G20" s="2856"/>
      <c r="H20" s="2856"/>
      <c r="I20" s="2856"/>
      <c r="J20" s="2856"/>
      <c r="K20" s="2856"/>
      <c r="L20" s="2856"/>
      <c r="M20" s="2856"/>
      <c r="N20" s="2856"/>
      <c r="O20" s="2856"/>
      <c r="P20" s="2856"/>
      <c r="Q20" s="493">
        <f>SUMIF(T21:T22,"i",Q21:Q22)</f>
        <v>0</v>
      </c>
      <c r="R20" s="939"/>
      <c r="S20" s="644" t="s">
        <v>616</v>
      </c>
      <c r="T20" s="652" t="s">
        <v>614</v>
      </c>
      <c r="U20" s="2777">
        <v>2</v>
      </c>
      <c r="V20" s="2777"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523" customFormat="1" ht="11.25" hidden="1" customHeight="1">
      <c r="A21" s="643"/>
      <c r="B21" s="446"/>
      <c r="C21" s="446"/>
      <c r="D21" s="2861"/>
      <c r="E21" s="570"/>
      <c r="F21" s="570">
        <v>0</v>
      </c>
      <c r="G21" s="570"/>
      <c r="H21" s="570"/>
      <c r="I21" s="570"/>
      <c r="J21" s="570"/>
      <c r="K21" s="570"/>
      <c r="L21" s="570"/>
      <c r="M21" s="570"/>
      <c r="N21" s="570"/>
      <c r="O21" s="570"/>
      <c r="P21" s="570"/>
      <c r="Q21" s="570"/>
      <c r="R21" s="570"/>
      <c r="S21" s="571"/>
      <c r="T21" s="653"/>
      <c r="U21" s="2777"/>
      <c r="V21" s="2777"/>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523" customFormat="1" ht="11.25" hidden="1" customHeight="1">
      <c r="A22" s="568"/>
      <c r="B22" s="352"/>
      <c r="C22" s="347"/>
      <c r="D22" s="2862"/>
      <c r="E22" s="584" t="s">
        <v>28</v>
      </c>
      <c r="F22" s="585" t="s">
        <v>28</v>
      </c>
      <c r="G22" s="585" t="s">
        <v>28</v>
      </c>
      <c r="H22" s="586" t="s">
        <v>28</v>
      </c>
      <c r="I22" s="586"/>
      <c r="J22" s="586"/>
      <c r="K22" s="586"/>
      <c r="L22" s="586"/>
      <c r="M22" s="586"/>
      <c r="N22" s="586"/>
      <c r="O22" s="586"/>
      <c r="P22" s="586"/>
      <c r="Q22" s="586"/>
      <c r="R22" s="587"/>
      <c r="S22" s="942"/>
      <c r="T22" s="653"/>
      <c r="U22" s="2777"/>
      <c r="V22" s="2777"/>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864"/>
      <c r="F27" s="2864"/>
      <c r="G27" s="2864"/>
      <c r="H27" s="2864"/>
      <c r="I27" s="2864"/>
      <c r="J27" s="2864"/>
      <c r="K27" s="2864"/>
      <c r="L27" s="2864"/>
      <c r="M27" s="2864"/>
      <c r="N27" s="2864"/>
      <c r="O27" s="2864"/>
      <c r="P27" s="2864"/>
      <c r="Q27" s="2864"/>
      <c r="R27" s="2864"/>
      <c r="CF27" s="440">
        <v>11</v>
      </c>
    </row>
    <row r="28" spans="1:84" ht="11.45" customHeight="1">
      <c r="F28" s="691"/>
      <c r="G28" s="691"/>
      <c r="CF28" s="440">
        <v>11</v>
      </c>
    </row>
    <row r="29" spans="1:84" ht="11.25" hidden="1" customHeight="1">
      <c r="A29" s="545" t="s">
        <v>81</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554" hidden="1" customWidth="1"/>
    <col min="6" max="6" width="16.85546875" style="2519" hidden="1" customWidth="1"/>
    <col min="7" max="7" width="5.5703125" style="2520" hidden="1" customWidth="1"/>
    <col min="8" max="8" width="3" style="2513" customWidth="1"/>
    <col min="9" max="9" width="7" style="2513" customWidth="1"/>
    <col min="10" max="10" width="56" style="2513" customWidth="1"/>
    <col min="11" max="11" width="10" style="2513" customWidth="1"/>
    <col min="12" max="12" width="40.5703125" style="2513" hidden="1" customWidth="1"/>
    <col min="13" max="13" width="40.7109375" style="2513" customWidth="1"/>
    <col min="14" max="14" width="9.7109375" style="2519" hidden="1" customWidth="1"/>
    <col min="15" max="15" width="102" style="2513" customWidth="1"/>
    <col min="16" max="16" width="9" style="2519" customWidth="1"/>
    <col min="17" max="17" width="5" style="2520" customWidth="1"/>
    <col min="18" max="18" width="3" style="2520" customWidth="1"/>
    <col min="19" max="22" width="3" style="2519" customWidth="1"/>
    <col min="23" max="23" width="10" style="2520" customWidth="1"/>
    <col min="24" max="24" width="34" style="2519" customWidth="1"/>
    <col min="25" max="25" width="9" style="2519" customWidth="1"/>
    <col min="26" max="26" width="8" style="2555" customWidth="1"/>
    <col min="27" max="31" width="8" style="2519" customWidth="1"/>
    <col min="32" max="36" width="8" style="2511" customWidth="1"/>
    <col min="37" max="37" width="5.42578125" style="2513" hidden="1" customWidth="1"/>
  </cols>
  <sheetData>
    <row r="1" spans="1:37" s="2519" customFormat="1" ht="33.75" hidden="1" customHeight="1">
      <c r="A1" s="910"/>
      <c r="B1" s="910"/>
      <c r="C1" s="910"/>
      <c r="D1" s="910"/>
      <c r="E1" s="910"/>
      <c r="G1" s="1554"/>
      <c r="H1" s="803"/>
      <c r="L1" s="1284">
        <v>4</v>
      </c>
      <c r="M1" s="1284">
        <v>4</v>
      </c>
      <c r="Q1" s="1554"/>
      <c r="R1" s="1554"/>
      <c r="W1" s="1554"/>
      <c r="AK1" s="1284" t="s">
        <v>14</v>
      </c>
    </row>
    <row r="2" spans="1:37" s="2519" customFormat="1" ht="78.75" hidden="1" customHeight="1">
      <c r="A2" s="910"/>
      <c r="B2" s="1965" t="s">
        <v>617</v>
      </c>
      <c r="C2" s="1965" t="s">
        <v>618</v>
      </c>
      <c r="D2" s="1964" t="s">
        <v>619</v>
      </c>
      <c r="E2" s="1968" t="e">
        <f>RIGHT(I2,LEN(I2)-SEARCH("#",SUBSTITUTE(I2,".","#",LEN(I2)-LEN(SUBSTITUTE(I2,".","")))))</f>
        <v>#VALUE!</v>
      </c>
      <c r="F2" s="1970">
        <f>J2</f>
        <v>0</v>
      </c>
      <c r="G2" s="1554"/>
      <c r="H2" s="1971"/>
      <c r="I2" s="1961"/>
      <c r="J2" s="475"/>
      <c r="K2" s="1931" t="s">
        <v>558</v>
      </c>
      <c r="L2" s="686"/>
      <c r="M2" s="686"/>
      <c r="N2" s="478"/>
      <c r="O2" s="1443" t="s">
        <v>559</v>
      </c>
      <c r="P2" s="478"/>
      <c r="Q2" s="1554"/>
      <c r="R2" s="1554"/>
      <c r="W2" s="1554"/>
      <c r="Z2" s="479"/>
      <c r="AF2" s="1550"/>
      <c r="AG2" s="1550"/>
      <c r="AH2" s="1550"/>
      <c r="AI2" s="1550"/>
      <c r="AJ2" s="1550"/>
      <c r="AK2" s="1284">
        <v>0</v>
      </c>
    </row>
    <row r="3" spans="1:37" ht="11.25" hidden="1" customHeight="1">
      <c r="E3" s="1963" t="s">
        <v>620</v>
      </c>
      <c r="L3" s="1549">
        <f>0</f>
        <v>0</v>
      </c>
      <c r="M3" s="1549">
        <v>1</v>
      </c>
      <c r="AK3" s="1549">
        <v>0</v>
      </c>
    </row>
    <row r="4" spans="1:37" s="2511"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709" t="s">
        <v>621</v>
      </c>
      <c r="J6" s="2709"/>
      <c r="K6" s="2709"/>
      <c r="L6" s="2709"/>
      <c r="M6" s="2709"/>
      <c r="O6" s="491"/>
      <c r="AK6" s="1549">
        <v>55</v>
      </c>
    </row>
    <row r="7" spans="1:37" ht="25.15" customHeight="1">
      <c r="I7" s="2696" t="str">
        <f>IF(org=0,"Не определено",org)</f>
        <v>ООО "Ноябрьская ПГЭ"</v>
      </c>
      <c r="J7" s="2696"/>
      <c r="K7" s="2696"/>
      <c r="L7" s="2696"/>
      <c r="M7" s="2696"/>
      <c r="AK7" s="1549">
        <v>24</v>
      </c>
    </row>
    <row r="8" spans="1:37" ht="11.45" customHeight="1">
      <c r="I8" s="1053"/>
      <c r="J8" s="1053"/>
      <c r="K8" s="1053"/>
      <c r="L8" s="1053"/>
      <c r="M8" s="1053"/>
      <c r="AK8" s="1549">
        <v>11</v>
      </c>
    </row>
    <row r="9" spans="1:37" s="2520" customFormat="1" ht="30" hidden="1" customHeight="1">
      <c r="A9" s="1085"/>
      <c r="B9" s="1085"/>
      <c r="C9" s="1085"/>
      <c r="E9" s="1085"/>
      <c r="H9" s="1560"/>
      <c r="L9" s="813"/>
      <c r="M9" s="813" t="s">
        <v>116</v>
      </c>
      <c r="AK9" s="1554">
        <v>1</v>
      </c>
    </row>
    <row r="10" spans="1:37" ht="11.45" customHeight="1">
      <c r="E10" s="1962" t="s">
        <v>622</v>
      </c>
      <c r="I10" s="646"/>
      <c r="J10" s="2849" t="s">
        <v>104</v>
      </c>
      <c r="K10" s="2850"/>
      <c r="L10" s="1941" t="str">
        <f>IF(L9="","",INDEX(DIFFERENTIATION_UNMERGE_VD,MATCH(L9,DIFFERENTIATION_ID_DIFF,0)))</f>
        <v/>
      </c>
      <c r="M10" s="1941">
        <f>IF(M9="","",INDEX(DIFFERENTIATION_UNMERGE_VD,MATCH(M9,DIFFERENTIATION_ID_DIFF,0)))</f>
        <v>0</v>
      </c>
      <c r="O10" s="2638" t="s">
        <v>303</v>
      </c>
      <c r="AK10" s="1549">
        <v>11</v>
      </c>
    </row>
    <row r="11" spans="1:37" ht="11.45" customHeight="1">
      <c r="E11" s="1962" t="s">
        <v>623</v>
      </c>
      <c r="I11" s="646"/>
      <c r="J11" s="2849" t="s">
        <v>566</v>
      </c>
      <c r="K11" s="2850"/>
      <c r="L11" s="1941" t="str">
        <f>IF(L9="","",INDEX(DIFFERENTIATION_UNMERGE_AREA,MATCH(L9,DIFFERENTIATION_ID_DIFF,0)))</f>
        <v/>
      </c>
      <c r="M11" s="1941" t="str">
        <f>IF(M9="","",INDEX(DIFFERENTIATION_UNMERGE_AREA,MATCH(M9,DIFFERENTIATION_ID_DIFF,0)))</f>
        <v/>
      </c>
      <c r="O11" s="2638"/>
      <c r="AK11" s="1549">
        <v>11</v>
      </c>
    </row>
    <row r="12" spans="1:37" ht="11.45" customHeight="1">
      <c r="E12" s="1962" t="s">
        <v>624</v>
      </c>
      <c r="I12" s="1580"/>
      <c r="J12" s="2849" t="s">
        <v>567</v>
      </c>
      <c r="K12" s="2850"/>
      <c r="L12" s="1941" t="str">
        <f>IF(L9="","",INDEX(DIFFERENTIATION_UNMERGE_SYSTEM,MATCH(L9,DIFFERENTIATION_ID_DIFF,0)))</f>
        <v/>
      </c>
      <c r="M12" s="1941" t="str">
        <f>IF(M9="","",INDEX(DIFFERENTIATION_UNMERGE_SYSTEM,MATCH(M9,DIFFERENTIATION_ID_DIFF,0)))</f>
        <v>без дифференциации</v>
      </c>
      <c r="O12" s="2638"/>
      <c r="AK12" s="1549">
        <v>11</v>
      </c>
    </row>
    <row r="13" spans="1:37" ht="11.45" customHeight="1">
      <c r="E13" s="1962" t="s">
        <v>625</v>
      </c>
      <c r="F13" s="1962" t="s">
        <v>626</v>
      </c>
      <c r="I13" s="2851" t="s">
        <v>302</v>
      </c>
      <c r="J13" s="2852"/>
      <c r="K13" s="2852"/>
      <c r="L13" s="1939"/>
      <c r="M13" s="1979"/>
      <c r="O13" s="2638"/>
      <c r="AK13" s="1549">
        <v>11</v>
      </c>
    </row>
    <row r="14" spans="1:37" ht="24" customHeight="1">
      <c r="I14" s="1932" t="s">
        <v>87</v>
      </c>
      <c r="J14" s="1932" t="s">
        <v>304</v>
      </c>
      <c r="K14" s="1932" t="s">
        <v>568</v>
      </c>
      <c r="L14" s="1972" t="s">
        <v>305</v>
      </c>
      <c r="M14" s="1973" t="s">
        <v>305</v>
      </c>
      <c r="O14" s="2638"/>
      <c r="AK14" s="1549">
        <v>23</v>
      </c>
    </row>
    <row r="15" spans="1:37" ht="24" customHeight="1">
      <c r="A15" s="1966"/>
      <c r="B15" s="1965" t="s">
        <v>627</v>
      </c>
      <c r="C15" s="1965" t="s">
        <v>628</v>
      </c>
      <c r="D15" s="1964" t="s">
        <v>629</v>
      </c>
      <c r="E15" s="1968" t="s">
        <v>630</v>
      </c>
      <c r="F15" s="1968" t="s">
        <v>630</v>
      </c>
      <c r="G15" s="1554" t="s">
        <v>590</v>
      </c>
      <c r="H15" s="1933"/>
      <c r="I15" s="1548">
        <v>1</v>
      </c>
      <c r="J15" s="1934" t="s">
        <v>631</v>
      </c>
      <c r="K15" s="1932" t="s">
        <v>308</v>
      </c>
      <c r="L15" s="597"/>
      <c r="M15" s="747"/>
      <c r="N15" s="478" t="s">
        <v>632</v>
      </c>
      <c r="O15" s="1443" t="s">
        <v>633</v>
      </c>
      <c r="P15" s="478" t="s">
        <v>632</v>
      </c>
      <c r="AK15" s="1549">
        <v>23</v>
      </c>
    </row>
    <row r="16" spans="1:37" ht="35.65" customHeight="1">
      <c r="A16" s="1966"/>
      <c r="B16" s="1965" t="s">
        <v>634</v>
      </c>
      <c r="C16" s="1965" t="s">
        <v>635</v>
      </c>
      <c r="D16" s="1964" t="s">
        <v>619</v>
      </c>
      <c r="E16" s="1968" t="s">
        <v>630</v>
      </c>
      <c r="F16" s="1968" t="s">
        <v>630</v>
      </c>
      <c r="H16" s="1933"/>
      <c r="I16" s="1547">
        <v>2</v>
      </c>
      <c r="J16" s="1975" t="s">
        <v>636</v>
      </c>
      <c r="K16" s="1974" t="s">
        <v>558</v>
      </c>
      <c r="L16" s="1980"/>
      <c r="M16" s="1594"/>
      <c r="N16" s="478" t="s">
        <v>632</v>
      </c>
      <c r="O16" s="1443" t="s">
        <v>637</v>
      </c>
      <c r="P16" s="478" t="s">
        <v>632</v>
      </c>
      <c r="AK16" s="1549">
        <v>34</v>
      </c>
    </row>
    <row r="17" spans="1:37" s="2520" customFormat="1" ht="17.25" hidden="1" customHeight="1">
      <c r="A17" s="1085"/>
      <c r="B17" s="1085"/>
      <c r="C17" s="1085"/>
      <c r="D17" s="1085"/>
      <c r="E17" s="1085"/>
      <c r="H17" s="1242"/>
      <c r="I17" s="935" t="s">
        <v>638</v>
      </c>
      <c r="J17" s="914"/>
      <c r="K17" s="935"/>
      <c r="L17" s="915"/>
      <c r="M17" s="915"/>
      <c r="O17" s="1303"/>
      <c r="AK17" s="1554">
        <v>1</v>
      </c>
    </row>
    <row r="18" spans="1:37" s="2519" customFormat="1" ht="24" customHeight="1">
      <c r="A18" s="910"/>
      <c r="B18" s="910"/>
      <c r="C18" s="910"/>
      <c r="D18" s="910"/>
      <c r="E18" s="910"/>
      <c r="G18" s="1554"/>
      <c r="H18" s="1551"/>
      <c r="I18" s="505"/>
      <c r="J18" s="506" t="s">
        <v>588</v>
      </c>
      <c r="K18" s="507"/>
      <c r="L18" s="1982"/>
      <c r="M18" s="508"/>
      <c r="N18" s="478"/>
      <c r="O18" s="1443" t="s">
        <v>589</v>
      </c>
      <c r="P18" s="478"/>
      <c r="Q18" s="1554"/>
      <c r="R18" s="1554"/>
      <c r="W18" s="1554"/>
      <c r="Z18" s="479"/>
      <c r="AF18" s="1550"/>
      <c r="AG18" s="1550"/>
      <c r="AH18" s="1550"/>
      <c r="AI18" s="1550"/>
      <c r="AJ18" s="1550"/>
      <c r="AK18" s="1284">
        <v>23</v>
      </c>
    </row>
    <row r="19" spans="1:37" ht="19.899999999999999" customHeight="1">
      <c r="A19" s="1966"/>
      <c r="B19" s="1965" t="s">
        <v>639</v>
      </c>
      <c r="C19" s="1965" t="s">
        <v>640</v>
      </c>
      <c r="D19" s="1964" t="s">
        <v>619</v>
      </c>
      <c r="E19" s="1968" t="s">
        <v>630</v>
      </c>
      <c r="F19" s="1968" t="s">
        <v>630</v>
      </c>
      <c r="H19" s="1933"/>
      <c r="I19" s="1582">
        <v>3</v>
      </c>
      <c r="J19" s="1934" t="s">
        <v>640</v>
      </c>
      <c r="K19" s="1930" t="s">
        <v>558</v>
      </c>
      <c r="L19" s="662"/>
      <c r="M19" s="492"/>
      <c r="N19" s="478"/>
      <c r="O19" s="1443" t="s">
        <v>641</v>
      </c>
      <c r="P19" s="478"/>
      <c r="AK19" s="1549">
        <v>19</v>
      </c>
    </row>
    <row r="20" spans="1:37" ht="77.650000000000006" customHeight="1">
      <c r="A20" s="1966"/>
      <c r="B20" s="1965" t="s">
        <v>642</v>
      </c>
      <c r="C20" s="1965" t="s">
        <v>643</v>
      </c>
      <c r="D20" s="1964" t="s">
        <v>619</v>
      </c>
      <c r="E20" s="1968" t="s">
        <v>630</v>
      </c>
      <c r="F20" s="1968" t="s">
        <v>630</v>
      </c>
      <c r="H20" s="1933"/>
      <c r="I20" s="1582">
        <v>4</v>
      </c>
      <c r="J20" s="1934" t="s">
        <v>644</v>
      </c>
      <c r="K20" s="1930" t="s">
        <v>585</v>
      </c>
      <c r="L20" s="662"/>
      <c r="M20" s="492"/>
      <c r="N20" s="478"/>
      <c r="O20" s="1443"/>
      <c r="P20" s="478"/>
      <c r="AK20" s="1549">
        <v>74</v>
      </c>
    </row>
    <row r="21" spans="1:37" ht="35.65" customHeight="1">
      <c r="A21" s="1966"/>
      <c r="B21" s="1965" t="s">
        <v>645</v>
      </c>
      <c r="C21" s="1965" t="s">
        <v>646</v>
      </c>
      <c r="D21" s="1964" t="s">
        <v>619</v>
      </c>
      <c r="E21" s="1968" t="s">
        <v>630</v>
      </c>
      <c r="F21" s="1968" t="s">
        <v>630</v>
      </c>
      <c r="H21" s="1933"/>
      <c r="I21" s="1582">
        <v>5</v>
      </c>
      <c r="J21" s="1934" t="s">
        <v>647</v>
      </c>
      <c r="K21" s="1930" t="s">
        <v>585</v>
      </c>
      <c r="L21" s="662"/>
      <c r="M21" s="492"/>
      <c r="N21" s="478"/>
      <c r="O21" s="1443" t="s">
        <v>641</v>
      </c>
      <c r="P21" s="478"/>
      <c r="AK21" s="1549">
        <v>34</v>
      </c>
    </row>
    <row r="22" spans="1:37" ht="48.2" customHeight="1">
      <c r="A22" s="1966"/>
      <c r="B22" s="1965" t="s">
        <v>648</v>
      </c>
      <c r="C22" s="1965" t="s">
        <v>649</v>
      </c>
      <c r="D22" s="1964" t="s">
        <v>619</v>
      </c>
      <c r="E22" s="1968" t="s">
        <v>630</v>
      </c>
      <c r="F22" s="1968" t="s">
        <v>630</v>
      </c>
      <c r="H22" s="1933"/>
      <c r="I22" s="1582">
        <v>6</v>
      </c>
      <c r="J22" s="1934" t="s">
        <v>650</v>
      </c>
      <c r="K22" s="1930" t="s">
        <v>585</v>
      </c>
      <c r="L22" s="662"/>
      <c r="M22" s="492"/>
      <c r="N22" s="478"/>
      <c r="O22" s="1443" t="s">
        <v>651</v>
      </c>
      <c r="P22" s="478"/>
      <c r="AK22" s="1549">
        <v>46</v>
      </c>
    </row>
    <row r="23" spans="1:37" ht="19.899999999999999" customHeight="1">
      <c r="A23" s="1966"/>
      <c r="B23" s="1965" t="s">
        <v>652</v>
      </c>
      <c r="C23" s="1965" t="s">
        <v>653</v>
      </c>
      <c r="D23" s="1964" t="s">
        <v>619</v>
      </c>
      <c r="E23" s="1968" t="s">
        <v>630</v>
      </c>
      <c r="F23" s="1968" t="s">
        <v>630</v>
      </c>
      <c r="H23" s="1933"/>
      <c r="I23" s="1582" t="s">
        <v>654</v>
      </c>
      <c r="J23" s="1442" t="s">
        <v>655</v>
      </c>
      <c r="K23" s="1930" t="s">
        <v>585</v>
      </c>
      <c r="L23" s="662"/>
      <c r="M23" s="492"/>
      <c r="N23" s="478"/>
      <c r="O23" s="1443" t="s">
        <v>641</v>
      </c>
      <c r="P23" s="478"/>
      <c r="AK23" s="1549">
        <v>19</v>
      </c>
    </row>
    <row r="24" spans="1:37" ht="19.899999999999999" customHeight="1">
      <c r="A24" s="1966"/>
      <c r="B24" s="1965" t="s">
        <v>656</v>
      </c>
      <c r="C24" s="1965" t="s">
        <v>657</v>
      </c>
      <c r="D24" s="1964" t="s">
        <v>619</v>
      </c>
      <c r="E24" s="1968" t="s">
        <v>630</v>
      </c>
      <c r="F24" s="1968" t="s">
        <v>630</v>
      </c>
      <c r="H24" s="1933"/>
      <c r="I24" s="1582" t="s">
        <v>658</v>
      </c>
      <c r="J24" s="1442" t="s">
        <v>659</v>
      </c>
      <c r="K24" s="1930" t="s">
        <v>585</v>
      </c>
      <c r="L24" s="662"/>
      <c r="M24" s="492"/>
      <c r="N24" s="478"/>
      <c r="O24" s="1443"/>
      <c r="P24" s="478"/>
      <c r="AK24" s="1549">
        <v>19</v>
      </c>
    </row>
    <row r="25" spans="1:37" ht="24" customHeight="1">
      <c r="A25" s="1966"/>
      <c r="B25" s="1965" t="s">
        <v>660</v>
      </c>
      <c r="C25" s="1965" t="s">
        <v>661</v>
      </c>
      <c r="D25" s="1964" t="s">
        <v>619</v>
      </c>
      <c r="E25" s="1968" t="s">
        <v>630</v>
      </c>
      <c r="F25" s="1968" t="s">
        <v>630</v>
      </c>
      <c r="H25" s="1933"/>
      <c r="I25" s="1582" t="s">
        <v>662</v>
      </c>
      <c r="J25" s="1442" t="s">
        <v>663</v>
      </c>
      <c r="K25" s="1930" t="s">
        <v>585</v>
      </c>
      <c r="L25" s="662"/>
      <c r="M25" s="492"/>
      <c r="N25" s="478"/>
      <c r="O25" s="1443"/>
      <c r="P25" s="478"/>
      <c r="AK25" s="1549">
        <v>23</v>
      </c>
    </row>
    <row r="26" spans="1:37" ht="24" customHeight="1">
      <c r="A26" s="1966"/>
      <c r="B26" s="1965" t="s">
        <v>664</v>
      </c>
      <c r="C26" s="1965" t="s">
        <v>665</v>
      </c>
      <c r="D26" s="1964" t="s">
        <v>619</v>
      </c>
      <c r="E26" s="1968" t="s">
        <v>630</v>
      </c>
      <c r="F26" s="1968" t="s">
        <v>630</v>
      </c>
      <c r="H26" s="1933"/>
      <c r="I26" s="1582">
        <v>7</v>
      </c>
      <c r="J26" s="1934" t="s">
        <v>665</v>
      </c>
      <c r="K26" s="1930" t="s">
        <v>666</v>
      </c>
      <c r="L26" s="662"/>
      <c r="M26" s="492"/>
      <c r="N26" s="478"/>
      <c r="O26" s="1443"/>
      <c r="P26" s="478"/>
      <c r="AK26" s="1549">
        <v>23</v>
      </c>
    </row>
    <row r="27" spans="1:37" ht="24" customHeight="1">
      <c r="A27" s="1966"/>
      <c r="B27" s="1965" t="s">
        <v>667</v>
      </c>
      <c r="C27" s="1965" t="s">
        <v>668</v>
      </c>
      <c r="D27" s="1964" t="s">
        <v>619</v>
      </c>
      <c r="E27" s="1968" t="s">
        <v>630</v>
      </c>
      <c r="F27" s="1968" t="s">
        <v>630</v>
      </c>
      <c r="H27" s="1933"/>
      <c r="I27" s="1582">
        <v>8</v>
      </c>
      <c r="J27" s="1934" t="s">
        <v>668</v>
      </c>
      <c r="K27" s="1930" t="s">
        <v>591</v>
      </c>
      <c r="L27" s="662"/>
      <c r="M27" s="492"/>
      <c r="N27" s="478"/>
      <c r="O27" s="1443"/>
      <c r="P27" s="478"/>
      <c r="AK27" s="1549">
        <v>23</v>
      </c>
    </row>
    <row r="28" spans="1:37" ht="35.65" customHeight="1">
      <c r="A28" s="1966"/>
      <c r="B28" s="1965" t="s">
        <v>669</v>
      </c>
      <c r="C28" s="1965" t="s">
        <v>670</v>
      </c>
      <c r="D28" s="1964" t="s">
        <v>619</v>
      </c>
      <c r="E28" s="1968" t="s">
        <v>630</v>
      </c>
      <c r="F28" s="1968" t="s">
        <v>630</v>
      </c>
      <c r="H28" s="1933"/>
      <c r="I28" s="1593">
        <v>9</v>
      </c>
      <c r="J28" s="1934" t="s">
        <v>671</v>
      </c>
      <c r="K28" s="1930" t="s">
        <v>562</v>
      </c>
      <c r="L28" s="662"/>
      <c r="M28" s="492"/>
      <c r="N28" s="478"/>
      <c r="O28" s="1443"/>
      <c r="P28" s="478"/>
      <c r="AK28" s="1549">
        <v>34</v>
      </c>
    </row>
    <row r="29" spans="1:37" ht="35.65" customHeight="1">
      <c r="A29" s="1966"/>
      <c r="B29" s="1965" t="s">
        <v>672</v>
      </c>
      <c r="C29" s="1965" t="s">
        <v>673</v>
      </c>
      <c r="D29" s="1964" t="s">
        <v>619</v>
      </c>
      <c r="E29" s="1968" t="s">
        <v>630</v>
      </c>
      <c r="F29" s="1968" t="s">
        <v>630</v>
      </c>
      <c r="H29" s="1933"/>
      <c r="I29" s="1593">
        <v>10</v>
      </c>
      <c r="J29" s="1934" t="s">
        <v>674</v>
      </c>
      <c r="K29" s="1930" t="s">
        <v>562</v>
      </c>
      <c r="L29" s="662"/>
      <c r="M29" s="492"/>
      <c r="N29" s="478"/>
      <c r="O29" s="1443"/>
      <c r="P29" s="478"/>
      <c r="AK29" s="1549">
        <v>34</v>
      </c>
    </row>
    <row r="30" spans="1:37" ht="24" customHeight="1">
      <c r="A30" s="1966"/>
      <c r="B30" s="1965" t="s">
        <v>675</v>
      </c>
      <c r="C30" s="1965" t="s">
        <v>676</v>
      </c>
      <c r="D30" s="1964" t="s">
        <v>619</v>
      </c>
      <c r="E30" s="1968" t="s">
        <v>630</v>
      </c>
      <c r="F30" s="1968" t="s">
        <v>630</v>
      </c>
      <c r="H30" s="1933"/>
      <c r="I30" s="1593">
        <v>11</v>
      </c>
      <c r="J30" s="1934" t="s">
        <v>676</v>
      </c>
      <c r="K30" s="1930" t="s">
        <v>592</v>
      </c>
      <c r="L30" s="1981"/>
      <c r="M30" s="1539"/>
      <c r="N30" s="478"/>
      <c r="O30" s="1443"/>
      <c r="P30" s="478"/>
      <c r="AK30" s="1549">
        <v>23</v>
      </c>
    </row>
    <row r="31" spans="1:37" ht="24" customHeight="1">
      <c r="A31" s="1966"/>
      <c r="B31" s="1965" t="s">
        <v>677</v>
      </c>
      <c r="C31" s="1965" t="s">
        <v>678</v>
      </c>
      <c r="D31" s="1964" t="s">
        <v>619</v>
      </c>
      <c r="E31" s="1968" t="s">
        <v>630</v>
      </c>
      <c r="F31" s="1968" t="s">
        <v>630</v>
      </c>
      <c r="H31" s="1933"/>
      <c r="I31" s="1593">
        <v>12</v>
      </c>
      <c r="J31" s="1934" t="s">
        <v>678</v>
      </c>
      <c r="K31" s="1930" t="s">
        <v>592</v>
      </c>
      <c r="L31" s="1981"/>
      <c r="M31" s="1539"/>
      <c r="N31" s="478"/>
      <c r="O31" s="1443"/>
      <c r="P31" s="478"/>
      <c r="AK31" s="1549">
        <v>23</v>
      </c>
    </row>
    <row r="32" spans="1:37" ht="48.2" customHeight="1">
      <c r="A32" s="1966"/>
      <c r="B32" s="1965" t="s">
        <v>679</v>
      </c>
      <c r="C32" s="1965" t="s">
        <v>680</v>
      </c>
      <c r="D32" s="1964" t="s">
        <v>619</v>
      </c>
      <c r="E32" s="1968" t="s">
        <v>630</v>
      </c>
      <c r="F32" s="1968" t="s">
        <v>630</v>
      </c>
      <c r="H32" s="1933"/>
      <c r="I32" s="1593">
        <v>13</v>
      </c>
      <c r="J32" s="1934" t="s">
        <v>681</v>
      </c>
      <c r="K32" s="1930" t="s">
        <v>602</v>
      </c>
      <c r="L32" s="662"/>
      <c r="M32" s="492"/>
      <c r="N32" s="478"/>
      <c r="O32" s="1443" t="s">
        <v>641</v>
      </c>
      <c r="P32" s="478"/>
      <c r="AK32" s="1549">
        <v>46</v>
      </c>
    </row>
    <row r="33" spans="1:37" s="2519" customFormat="1" ht="48.2" customHeight="1">
      <c r="A33" s="1966"/>
      <c r="B33" s="1965" t="s">
        <v>682</v>
      </c>
      <c r="C33" s="1965" t="s">
        <v>683</v>
      </c>
      <c r="D33" s="1964" t="s">
        <v>619</v>
      </c>
      <c r="E33" s="1968" t="s">
        <v>630</v>
      </c>
      <c r="F33" s="1968" t="s">
        <v>630</v>
      </c>
      <c r="G33" s="1554"/>
      <c r="H33" s="1933"/>
      <c r="I33" s="1593">
        <v>14</v>
      </c>
      <c r="J33" s="1946" t="s">
        <v>684</v>
      </c>
      <c r="K33" s="1935" t="s">
        <v>685</v>
      </c>
      <c r="L33" s="662"/>
      <c r="M33" s="492"/>
      <c r="N33" s="478"/>
      <c r="O33" s="1443" t="s">
        <v>641</v>
      </c>
      <c r="P33" s="478"/>
      <c r="Q33" s="1554"/>
      <c r="R33" s="1554"/>
      <c r="W33" s="1554"/>
      <c r="Z33" s="479"/>
      <c r="AF33" s="1550"/>
      <c r="AG33" s="1550"/>
      <c r="AH33" s="1550"/>
      <c r="AI33" s="1550"/>
      <c r="AJ33" s="1550"/>
      <c r="AK33" s="1284">
        <v>46</v>
      </c>
    </row>
    <row r="34" spans="1:37" ht="108" customHeight="1">
      <c r="A34" s="1966"/>
      <c r="B34" s="1965" t="s">
        <v>686</v>
      </c>
      <c r="C34" s="1965" t="s">
        <v>687</v>
      </c>
      <c r="D34" s="1964" t="s">
        <v>629</v>
      </c>
      <c r="E34" s="1968" t="s">
        <v>630</v>
      </c>
      <c r="F34" s="1968" t="s">
        <v>630</v>
      </c>
      <c r="G34" s="1554" t="s">
        <v>590</v>
      </c>
      <c r="H34" s="1933"/>
      <c r="I34" s="1944">
        <v>15</v>
      </c>
      <c r="J34" s="1945" t="s">
        <v>688</v>
      </c>
      <c r="K34" s="1930" t="s">
        <v>308</v>
      </c>
      <c r="L34" s="320"/>
      <c r="M34" s="1082"/>
      <c r="N34" s="478"/>
      <c r="O34" s="1443" t="s">
        <v>633</v>
      </c>
      <c r="P34" s="478"/>
      <c r="AK34" s="1549">
        <v>103</v>
      </c>
    </row>
    <row r="35" spans="1:37" s="2544"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544"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544"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544"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544"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544"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544"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544"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544"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544"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544"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544"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544"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544"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544"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544"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544"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544"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544"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544"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544"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544"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544"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544"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544"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544"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544"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544"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544"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544"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544"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544"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544"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544"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544"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544"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544"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544"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544"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544"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544"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544"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544"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544"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544"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544"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544"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544"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544"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544"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544"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544"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544"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544"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544"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544"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544"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544"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544"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544"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544"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544"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544"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544"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544"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544"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544"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544"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544"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544"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544"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544"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544"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544"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544"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544"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544"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544"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544"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544"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544"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544"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544"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544"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544"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544"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544"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544"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544"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544"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544"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544"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544"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544"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544"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544"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544"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544"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544"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544"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544"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544"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544"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544"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544"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544"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544"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544"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544"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544"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544"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544"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544"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544"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544"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544"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544"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544"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544"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544"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544"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544"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544"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544"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544"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544"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544"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544"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544"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544"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544"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544"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544"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544"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544"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544"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544"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544"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544"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544"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544"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544"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544"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544"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544"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544"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544"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544"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544"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544"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544"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544"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544"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544"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544"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81</v>
      </c>
      <c r="B204" s="910" t="s">
        <v>148</v>
      </c>
      <c r="C204" s="910" t="s">
        <v>148</v>
      </c>
      <c r="D204" s="910" t="s">
        <v>148</v>
      </c>
      <c r="E204" s="910" t="s">
        <v>148</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513" hidden="1"/>
    <col min="5" max="5" width="9.140625" style="2547" hidden="1" customWidth="1"/>
    <col min="6" max="7" width="9.140625" style="2519" hidden="1" customWidth="1"/>
    <col min="8" max="8" width="3" style="2548" customWidth="1"/>
    <col min="9" max="9" width="6" style="2513" customWidth="1"/>
    <col min="10" max="10" width="63" style="2513" customWidth="1"/>
    <col min="11" max="11" width="9" style="2513" customWidth="1"/>
    <col min="12" max="12" width="39" style="2513" customWidth="1"/>
    <col min="13" max="13" width="89" style="2513" customWidth="1"/>
    <col min="14" max="14" width="10" style="2513" customWidth="1"/>
    <col min="15" max="16" width="10" style="2526" customWidth="1"/>
    <col min="17" max="22" width="10" style="2513" customWidth="1"/>
    <col min="23" max="23" width="10.5703125" style="2513" hidden="1"/>
  </cols>
  <sheetData>
    <row r="1" spans="1:23" ht="22.5" hidden="1" customHeight="1">
      <c r="S1" s="191"/>
      <c r="T1" s="191"/>
      <c r="V1" s="191"/>
      <c r="W1" s="1549" t="s">
        <v>14</v>
      </c>
    </row>
    <row r="2" spans="1:23" ht="22.5" hidden="1" customHeight="1">
      <c r="B2" s="1965" t="s">
        <v>689</v>
      </c>
      <c r="C2" s="1965" t="s">
        <v>690</v>
      </c>
      <c r="D2" s="1964" t="s">
        <v>629</v>
      </c>
      <c r="E2" s="1970">
        <f>I2-3</f>
        <v>-3</v>
      </c>
      <c r="F2" s="1970">
        <f>J2</f>
        <v>0</v>
      </c>
      <c r="H2" s="1647" t="s">
        <v>427</v>
      </c>
      <c r="I2" s="1936"/>
      <c r="J2" s="1600"/>
      <c r="K2" s="1930" t="s">
        <v>308</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749" t="s">
        <v>691</v>
      </c>
      <c r="J5" s="2749"/>
      <c r="K5" s="2749"/>
      <c r="L5" s="2749"/>
      <c r="M5" s="202"/>
      <c r="W5" s="1549">
        <v>48</v>
      </c>
    </row>
    <row r="6" spans="1:23" ht="18" customHeight="1">
      <c r="H6" s="311"/>
      <c r="I6" s="2696" t="str">
        <f>IF(org=0,"Не определено",org)</f>
        <v>ООО "Ноябрьская ПГЭ"</v>
      </c>
      <c r="J6" s="2696"/>
      <c r="K6" s="2696"/>
      <c r="L6" s="2696"/>
      <c r="M6" s="202"/>
      <c r="W6" s="1549">
        <v>17</v>
      </c>
    </row>
    <row r="7" spans="1:23" ht="14.65" customHeight="1">
      <c r="H7" s="311"/>
      <c r="I7" s="392"/>
      <c r="J7" s="398"/>
      <c r="K7" s="398"/>
      <c r="L7" s="687"/>
      <c r="M7" s="129"/>
      <c r="W7" s="1549">
        <v>14</v>
      </c>
    </row>
    <row r="8" spans="1:23" ht="14.65" customHeight="1">
      <c r="H8" s="311"/>
      <c r="I8" s="2865" t="s">
        <v>302</v>
      </c>
      <c r="J8" s="2866"/>
      <c r="K8" s="2866"/>
      <c r="L8" s="2867"/>
      <c r="M8" s="2868" t="s">
        <v>303</v>
      </c>
      <c r="W8" s="1549">
        <v>14</v>
      </c>
    </row>
    <row r="9" spans="1:23" ht="35.65" customHeight="1">
      <c r="E9" s="1963" t="s">
        <v>620</v>
      </c>
      <c r="F9" s="1963" t="s">
        <v>626</v>
      </c>
      <c r="H9" s="311"/>
      <c r="I9" s="1937" t="s">
        <v>87</v>
      </c>
      <c r="J9" s="1938" t="s">
        <v>304</v>
      </c>
      <c r="K9" s="1976" t="s">
        <v>568</v>
      </c>
      <c r="L9" s="1977" t="s">
        <v>305</v>
      </c>
      <c r="M9" s="2868"/>
      <c r="W9" s="1549">
        <v>34</v>
      </c>
    </row>
    <row r="10" spans="1:23" ht="35.65" customHeight="1">
      <c r="B10" s="1965" t="s">
        <v>692</v>
      </c>
      <c r="C10" s="1965" t="s">
        <v>693</v>
      </c>
      <c r="D10" s="1964" t="s">
        <v>629</v>
      </c>
      <c r="E10" s="1968" t="s">
        <v>630</v>
      </c>
      <c r="F10" s="1968" t="s">
        <v>630</v>
      </c>
      <c r="H10" s="311"/>
      <c r="I10" s="1936" t="s">
        <v>108</v>
      </c>
      <c r="J10" s="1801" t="s">
        <v>694</v>
      </c>
      <c r="K10" s="1930" t="s">
        <v>308</v>
      </c>
      <c r="L10" s="747"/>
      <c r="M10" s="233" t="s">
        <v>695</v>
      </c>
      <c r="W10" s="1549">
        <v>34</v>
      </c>
    </row>
    <row r="11" spans="1:23" ht="50.25" customHeight="1">
      <c r="B11" s="1965" t="s">
        <v>696</v>
      </c>
      <c r="C11" s="1965" t="s">
        <v>697</v>
      </c>
      <c r="D11" s="1964" t="s">
        <v>629</v>
      </c>
      <c r="E11" s="1968" t="s">
        <v>630</v>
      </c>
      <c r="F11" s="1968" t="s">
        <v>630</v>
      </c>
      <c r="H11" s="311"/>
      <c r="I11" s="1936" t="s">
        <v>109</v>
      </c>
      <c r="J11" s="1801" t="s">
        <v>698</v>
      </c>
      <c r="K11" s="1930" t="s">
        <v>308</v>
      </c>
      <c r="L11" s="747"/>
      <c r="M11" s="233" t="s">
        <v>695</v>
      </c>
      <c r="W11" s="1549">
        <v>48</v>
      </c>
    </row>
    <row r="12" spans="1:23" ht="48.2" customHeight="1">
      <c r="B12" s="1965" t="s">
        <v>699</v>
      </c>
      <c r="C12" s="1965" t="s">
        <v>700</v>
      </c>
      <c r="D12" s="1964" t="s">
        <v>629</v>
      </c>
      <c r="E12" s="1968" t="s">
        <v>630</v>
      </c>
      <c r="F12" s="1968" t="s">
        <v>630</v>
      </c>
      <c r="H12" s="1606"/>
      <c r="I12" s="1936" t="s">
        <v>89</v>
      </c>
      <c r="J12" s="1943" t="s">
        <v>701</v>
      </c>
      <c r="K12" s="1930" t="s">
        <v>308</v>
      </c>
      <c r="L12" s="747"/>
      <c r="M12" s="233" t="s">
        <v>702</v>
      </c>
      <c r="N12" s="1542"/>
      <c r="P12" s="1549"/>
      <c r="W12" s="1549">
        <v>46</v>
      </c>
    </row>
    <row r="13" spans="1:23" ht="14.65" customHeight="1">
      <c r="E13" s="279"/>
      <c r="H13" s="311"/>
      <c r="I13" s="283"/>
      <c r="J13" s="586" t="s">
        <v>703</v>
      </c>
      <c r="K13" s="506"/>
      <c r="L13" s="150"/>
      <c r="M13" s="233"/>
      <c r="W13" s="1549">
        <v>14</v>
      </c>
    </row>
    <row r="14" spans="1:23" ht="14.65" customHeight="1">
      <c r="E14" s="279"/>
      <c r="H14" s="311"/>
      <c r="I14" s="979"/>
      <c r="J14" s="1595"/>
      <c r="K14" s="1596"/>
      <c r="L14" s="1597"/>
      <c r="M14" s="1940"/>
      <c r="W14" s="1549">
        <v>14</v>
      </c>
    </row>
    <row r="15" spans="1:23" ht="14.65" customHeight="1">
      <c r="I15" s="1599"/>
      <c r="J15" s="2786"/>
      <c r="K15" s="2786"/>
      <c r="L15" s="2786"/>
      <c r="M15" s="2786"/>
      <c r="W15" s="1549">
        <v>14</v>
      </c>
    </row>
    <row r="16" spans="1:23" ht="21" hidden="1" customHeight="1">
      <c r="A16" s="1942" t="s">
        <v>81</v>
      </c>
      <c r="B16" s="1549">
        <v>9</v>
      </c>
      <c r="C16" s="1549">
        <v>9</v>
      </c>
      <c r="D16" s="1549">
        <v>9</v>
      </c>
      <c r="E16" s="1942" t="s">
        <v>147</v>
      </c>
      <c r="F16" s="1967" t="s">
        <v>147</v>
      </c>
      <c r="G16" s="1969"/>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554" hidden="1" customWidth="1"/>
    <col min="2" max="2" width="16.85546875" style="2519" hidden="1" customWidth="1"/>
    <col min="3" max="3" width="5.5703125" style="2520" hidden="1" customWidth="1"/>
    <col min="4" max="4" width="3" style="2513" customWidth="1"/>
    <col min="5" max="5" width="7" style="2513" customWidth="1"/>
    <col min="6" max="6" width="56" style="2513" customWidth="1"/>
    <col min="7" max="7" width="10" style="2513" customWidth="1"/>
    <col min="8" max="8" width="40.7109375" style="2513" hidden="1" customWidth="1"/>
    <col min="9" max="9" width="40" style="2513" customWidth="1"/>
    <col min="10" max="10" width="102" style="2513" customWidth="1"/>
    <col min="11" max="11" width="9" style="2519" customWidth="1"/>
    <col min="12" max="12" width="5" style="2520" customWidth="1"/>
    <col min="13" max="13" width="3" style="2520" customWidth="1"/>
    <col min="14" max="17" width="3" style="2519" customWidth="1"/>
    <col min="18" max="18" width="10" style="2520" customWidth="1"/>
    <col min="19" max="19" width="34" style="2519" customWidth="1"/>
    <col min="20" max="20" width="9" style="2519" customWidth="1"/>
    <col min="21" max="21" width="8" style="2555" customWidth="1"/>
    <col min="22" max="26" width="8" style="2519" customWidth="1"/>
    <col min="27" max="31" width="8" style="2511" customWidth="1"/>
    <col min="32" max="32" width="10.42578125" style="2513" hidden="1" customWidth="1"/>
  </cols>
  <sheetData>
    <row r="1" spans="1:32" s="2519" customFormat="1" ht="22.5" hidden="1" customHeight="1">
      <c r="A1" s="910"/>
      <c r="C1" s="1554"/>
      <c r="D1" s="472"/>
      <c r="H1" s="1078">
        <v>4</v>
      </c>
      <c r="I1" s="1078">
        <v>4</v>
      </c>
      <c r="L1" s="1554"/>
      <c r="M1" s="1554"/>
      <c r="R1" s="1554"/>
      <c r="AF1" s="1078" t="s">
        <v>14</v>
      </c>
    </row>
    <row r="2" spans="1:32" s="2519" customFormat="1" ht="22.5" hidden="1" customHeight="1">
      <c r="A2" s="910"/>
      <c r="C2" s="1554"/>
      <c r="D2" s="473"/>
      <c r="E2" s="1555"/>
      <c r="F2" s="475"/>
      <c r="G2" s="1557" t="s">
        <v>554</v>
      </c>
      <c r="H2" s="476"/>
      <c r="I2" s="476"/>
      <c r="J2" s="477" t="s">
        <v>704</v>
      </c>
      <c r="K2" s="478"/>
      <c r="L2" s="1554"/>
      <c r="M2" s="1554"/>
      <c r="R2" s="1554"/>
      <c r="U2" s="479"/>
      <c r="AA2" s="1550"/>
      <c r="AB2" s="1550"/>
      <c r="AC2" s="1550"/>
      <c r="AD2" s="1550"/>
      <c r="AE2" s="1550"/>
      <c r="AF2" s="1078">
        <v>0</v>
      </c>
    </row>
    <row r="3" spans="1:32" ht="11.25" hidden="1" customHeight="1">
      <c r="AF3" s="1549">
        <v>0</v>
      </c>
    </row>
    <row r="4" spans="1:32" s="2511"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709" t="s">
        <v>705</v>
      </c>
      <c r="F6" s="2709"/>
      <c r="G6" s="2709"/>
      <c r="H6" s="2709"/>
      <c r="I6" s="2709"/>
      <c r="J6" s="491"/>
      <c r="AF6" s="1549">
        <v>30</v>
      </c>
    </row>
    <row r="7" spans="1:32" ht="11.45" customHeight="1">
      <c r="E7" s="2696" t="str">
        <f>IF(org=0,"Не определено",org)</f>
        <v>ООО "Ноябрьская ПГЭ"</v>
      </c>
      <c r="F7" s="2696"/>
      <c r="G7" s="2696"/>
      <c r="H7" s="2696"/>
      <c r="I7" s="2696"/>
      <c r="AF7" s="1549">
        <v>11</v>
      </c>
    </row>
    <row r="8" spans="1:32" ht="11.45" customHeight="1">
      <c r="E8" s="1053"/>
      <c r="F8" s="1053"/>
      <c r="G8" s="1053"/>
      <c r="H8" s="1053"/>
      <c r="I8" s="1053"/>
      <c r="AF8" s="1549">
        <v>11</v>
      </c>
    </row>
    <row r="9" spans="1:32" s="2520" customFormat="1" ht="4.1500000000000004" customHeight="1">
      <c r="A9" s="1085"/>
      <c r="D9" s="1560"/>
      <c r="H9" s="813"/>
      <c r="I9" s="813" t="s">
        <v>116</v>
      </c>
      <c r="AF9" s="1554">
        <v>4</v>
      </c>
    </row>
    <row r="10" spans="1:32" ht="11.45" customHeight="1">
      <c r="E10" s="646"/>
      <c r="F10" s="2849" t="s">
        <v>104</v>
      </c>
      <c r="G10" s="2850"/>
      <c r="H10" s="1470" t="str">
        <f>IF(H9="","",INDEX(DIFFERENTIATION_UNMERGE_VD,MATCH(H9,DIFFERENTIATION_ID_DIFF,0)))</f>
        <v/>
      </c>
      <c r="I10" s="1470">
        <f>IF(I9="","",INDEX(DIFFERENTIATION_UNMERGE_VD,MATCH(I9,DIFFERENTIATION_ID_DIFF,0)))</f>
        <v>0</v>
      </c>
      <c r="J10" s="2638"/>
      <c r="AF10" s="1549">
        <v>11</v>
      </c>
    </row>
    <row r="11" spans="1:32" ht="11.45" customHeight="1">
      <c r="E11" s="646"/>
      <c r="F11" s="2849" t="s">
        <v>566</v>
      </c>
      <c r="G11" s="2850"/>
      <c r="H11" s="1470" t="str">
        <f>IF(H9="","",INDEX(DIFFERENTIATION_UNMERGE_AREA,MATCH(H9,DIFFERENTIATION_ID_DIFF,0)))</f>
        <v/>
      </c>
      <c r="I11" s="1470" t="str">
        <f>IF(I9="","",INDEX(DIFFERENTIATION_UNMERGE_AREA,MATCH(I9,DIFFERENTIATION_ID_DIFF,0)))</f>
        <v/>
      </c>
      <c r="J11" s="2638"/>
      <c r="AF11" s="1549">
        <v>11</v>
      </c>
    </row>
    <row r="12" spans="1:32" ht="1.1499999999999999" customHeight="1">
      <c r="E12" s="1580"/>
      <c r="F12" s="2869" t="s">
        <v>567</v>
      </c>
      <c r="G12" s="2870"/>
      <c r="H12" s="1581" t="str">
        <f>IF(H9="","",INDEX(DIFFERENTIATION_UNMERGE_SYSTEM,MATCH(H9,DIFFERENTIATION_ID_DIFF,0)))</f>
        <v/>
      </c>
      <c r="I12" s="1581" t="str">
        <f>IF(I9="","",INDEX(DIFFERENTIATION_UNMERGE_SYSTEM,MATCH(I9,DIFFERENTIATION_ID_DIFF,0)))</f>
        <v>без дифференциации</v>
      </c>
      <c r="J12" s="2638"/>
      <c r="AF12" s="1549">
        <v>1</v>
      </c>
    </row>
    <row r="13" spans="1:32" ht="11.45" customHeight="1">
      <c r="E13" s="2851" t="s">
        <v>302</v>
      </c>
      <c r="F13" s="2852"/>
      <c r="G13" s="2852"/>
      <c r="H13" s="1469"/>
      <c r="I13" s="1469"/>
      <c r="J13" s="2638"/>
      <c r="AF13" s="1549">
        <v>11</v>
      </c>
    </row>
    <row r="14" spans="1:32" ht="24" customHeight="1">
      <c r="E14" s="1557" t="s">
        <v>87</v>
      </c>
      <c r="F14" s="1552" t="s">
        <v>304</v>
      </c>
      <c r="G14" s="1552" t="s">
        <v>568</v>
      </c>
      <c r="H14" s="1552" t="s">
        <v>305</v>
      </c>
      <c r="I14" s="1552" t="s">
        <v>305</v>
      </c>
      <c r="J14" s="2638"/>
      <c r="AF14" s="1549">
        <v>23</v>
      </c>
    </row>
    <row r="15" spans="1:32" ht="19.899999999999999" customHeight="1">
      <c r="D15" s="1556"/>
      <c r="E15" s="1548" t="s">
        <v>108</v>
      </c>
      <c r="F15" s="642" t="s">
        <v>706</v>
      </c>
      <c r="G15" s="1564" t="s">
        <v>554</v>
      </c>
      <c r="H15" s="492"/>
      <c r="I15" s="492"/>
      <c r="J15" s="225" t="s">
        <v>707</v>
      </c>
      <c r="K15" s="478" t="s">
        <v>632</v>
      </c>
      <c r="AF15" s="1549">
        <v>19</v>
      </c>
    </row>
    <row r="16" spans="1:32" ht="35.65" customHeight="1">
      <c r="D16" s="1556"/>
      <c r="E16" s="1548" t="s">
        <v>109</v>
      </c>
      <c r="F16" s="642" t="s">
        <v>708</v>
      </c>
      <c r="G16" s="1564" t="s">
        <v>554</v>
      </c>
      <c r="H16" s="493">
        <f>SUM(H17,H20:H32)</f>
        <v>0</v>
      </c>
      <c r="I16" s="493">
        <f>SUM(I17,I20,I23,I26,I29:I32)</f>
        <v>0</v>
      </c>
      <c r="J16" s="225" t="s">
        <v>709</v>
      </c>
      <c r="K16" s="478" t="s">
        <v>632</v>
      </c>
      <c r="AF16" s="1549">
        <v>34</v>
      </c>
    </row>
    <row r="17" spans="1:32" ht="19.899999999999999" customHeight="1">
      <c r="D17" s="1556"/>
      <c r="E17" s="1582" t="s">
        <v>710</v>
      </c>
      <c r="F17" s="878" t="s">
        <v>711</v>
      </c>
      <c r="G17" s="1561" t="s">
        <v>554</v>
      </c>
      <c r="H17" s="492"/>
      <c r="I17" s="492"/>
      <c r="J17" s="225" t="s">
        <v>712</v>
      </c>
      <c r="K17" s="478"/>
      <c r="AF17" s="1549">
        <v>19</v>
      </c>
    </row>
    <row r="18" spans="1:32" ht="24" customHeight="1">
      <c r="D18" s="1556"/>
      <c r="E18" s="1582" t="s">
        <v>713</v>
      </c>
      <c r="F18" s="1568" t="s">
        <v>714</v>
      </c>
      <c r="G18" s="1561" t="s">
        <v>554</v>
      </c>
      <c r="H18" s="492"/>
      <c r="I18" s="492"/>
      <c r="J18" s="225" t="s">
        <v>715</v>
      </c>
      <c r="K18" s="478"/>
      <c r="AF18" s="1549">
        <v>23</v>
      </c>
    </row>
    <row r="19" spans="1:32" ht="35.65" customHeight="1">
      <c r="D19" s="1556"/>
      <c r="E19" s="1582" t="s">
        <v>716</v>
      </c>
      <c r="F19" s="1568" t="s">
        <v>717</v>
      </c>
      <c r="G19" s="1561" t="s">
        <v>554</v>
      </c>
      <c r="H19" s="492"/>
      <c r="I19" s="492"/>
      <c r="J19" s="225"/>
      <c r="K19" s="478"/>
      <c r="AF19" s="1549">
        <v>34</v>
      </c>
    </row>
    <row r="20" spans="1:32" ht="19.899999999999999" customHeight="1">
      <c r="D20" s="1556"/>
      <c r="E20" s="1582" t="s">
        <v>309</v>
      </c>
      <c r="F20" s="878" t="s">
        <v>718</v>
      </c>
      <c r="G20" s="1561" t="s">
        <v>554</v>
      </c>
      <c r="H20" s="492"/>
      <c r="I20" s="492"/>
      <c r="J20" s="225" t="s">
        <v>719</v>
      </c>
      <c r="K20" s="478"/>
      <c r="AF20" s="1549">
        <v>19</v>
      </c>
    </row>
    <row r="21" spans="1:32" ht="19.899999999999999" customHeight="1">
      <c r="D21" s="1556"/>
      <c r="E21" s="1582" t="s">
        <v>720</v>
      </c>
      <c r="F21" s="1568" t="s">
        <v>721</v>
      </c>
      <c r="G21" s="1561" t="s">
        <v>554</v>
      </c>
      <c r="H21" s="492"/>
      <c r="I21" s="492"/>
      <c r="J21" s="225"/>
      <c r="K21" s="478"/>
      <c r="AF21" s="1549">
        <v>19</v>
      </c>
    </row>
    <row r="22" spans="1:32" ht="19.899999999999999" customHeight="1">
      <c r="D22" s="1556"/>
      <c r="E22" s="1582" t="s">
        <v>722</v>
      </c>
      <c r="F22" s="1568" t="s">
        <v>723</v>
      </c>
      <c r="G22" s="1561" t="s">
        <v>554</v>
      </c>
      <c r="H22" s="492"/>
      <c r="I22" s="492"/>
      <c r="J22" s="225"/>
      <c r="K22" s="478"/>
      <c r="AF22" s="1549">
        <v>19</v>
      </c>
    </row>
    <row r="23" spans="1:32" ht="24" customHeight="1">
      <c r="D23" s="1556"/>
      <c r="E23" s="1582" t="s">
        <v>312</v>
      </c>
      <c r="F23" s="878" t="s">
        <v>724</v>
      </c>
      <c r="G23" s="1561" t="s">
        <v>554</v>
      </c>
      <c r="H23" s="492"/>
      <c r="I23" s="492"/>
      <c r="J23" s="225" t="s">
        <v>725</v>
      </c>
      <c r="K23" s="478"/>
      <c r="AF23" s="1549">
        <v>23</v>
      </c>
    </row>
    <row r="24" spans="1:32" ht="19.899999999999999" customHeight="1">
      <c r="D24" s="1556"/>
      <c r="E24" s="1582" t="s">
        <v>726</v>
      </c>
      <c r="F24" s="1568" t="s">
        <v>727</v>
      </c>
      <c r="G24" s="1561" t="s">
        <v>554</v>
      </c>
      <c r="H24" s="492"/>
      <c r="I24" s="492"/>
      <c r="J24" s="225"/>
      <c r="K24" s="478"/>
      <c r="AF24" s="1549">
        <v>19</v>
      </c>
    </row>
    <row r="25" spans="1:32" ht="35.65" customHeight="1">
      <c r="D25" s="1556"/>
      <c r="E25" s="1582" t="s">
        <v>728</v>
      </c>
      <c r="F25" s="1568" t="s">
        <v>729</v>
      </c>
      <c r="G25" s="1561" t="s">
        <v>554</v>
      </c>
      <c r="H25" s="492"/>
      <c r="I25" s="492"/>
      <c r="J25" s="225"/>
      <c r="K25" s="478"/>
      <c r="AF25" s="1549">
        <v>34</v>
      </c>
    </row>
    <row r="26" spans="1:32" ht="24" customHeight="1">
      <c r="D26" s="1556"/>
      <c r="E26" s="1582" t="s">
        <v>730</v>
      </c>
      <c r="F26" s="878" t="s">
        <v>731</v>
      </c>
      <c r="G26" s="1561" t="s">
        <v>554</v>
      </c>
      <c r="H26" s="492"/>
      <c r="I26" s="492"/>
      <c r="J26" s="225" t="s">
        <v>732</v>
      </c>
      <c r="K26" s="478"/>
      <c r="AF26" s="1549">
        <v>23</v>
      </c>
    </row>
    <row r="27" spans="1:32" ht="19.899999999999999" customHeight="1">
      <c r="D27" s="1556"/>
      <c r="E27" s="1593" t="s">
        <v>733</v>
      </c>
      <c r="F27" s="1568" t="s">
        <v>734</v>
      </c>
      <c r="G27" s="1572" t="s">
        <v>554</v>
      </c>
      <c r="H27" s="1594"/>
      <c r="I27" s="1594"/>
      <c r="J27" s="225"/>
      <c r="K27" s="478"/>
      <c r="AF27" s="1549">
        <v>19</v>
      </c>
    </row>
    <row r="28" spans="1:32" ht="19.899999999999999" customHeight="1">
      <c r="D28" s="1556"/>
      <c r="E28" s="1593" t="s">
        <v>735</v>
      </c>
      <c r="F28" s="1568" t="s">
        <v>736</v>
      </c>
      <c r="G28" s="1572" t="s">
        <v>554</v>
      </c>
      <c r="H28" s="1594"/>
      <c r="I28" s="1594"/>
      <c r="J28" s="225"/>
      <c r="K28" s="478"/>
      <c r="AF28" s="1549">
        <v>19</v>
      </c>
    </row>
    <row r="29" spans="1:32" ht="19.899999999999999" customHeight="1">
      <c r="D29" s="1556"/>
      <c r="E29" s="1593" t="s">
        <v>737</v>
      </c>
      <c r="F29" s="878" t="s">
        <v>738</v>
      </c>
      <c r="G29" s="1572" t="s">
        <v>554</v>
      </c>
      <c r="H29" s="1594"/>
      <c r="I29" s="1594"/>
      <c r="J29" s="225"/>
      <c r="K29" s="478"/>
      <c r="AF29" s="1549">
        <v>19</v>
      </c>
    </row>
    <row r="30" spans="1:32" ht="19.899999999999999" customHeight="1">
      <c r="D30" s="1556"/>
      <c r="E30" s="1593" t="s">
        <v>739</v>
      </c>
      <c r="F30" s="878" t="s">
        <v>740</v>
      </c>
      <c r="G30" s="1572" t="s">
        <v>554</v>
      </c>
      <c r="H30" s="1594"/>
      <c r="I30" s="1594"/>
      <c r="J30" s="225"/>
      <c r="K30" s="478"/>
      <c r="AF30" s="1549">
        <v>19</v>
      </c>
    </row>
    <row r="31" spans="1:32" ht="19.899999999999999" customHeight="1">
      <c r="D31" s="1556"/>
      <c r="E31" s="1593" t="s">
        <v>741</v>
      </c>
      <c r="F31" s="878" t="s">
        <v>742</v>
      </c>
      <c r="G31" s="1572" t="s">
        <v>554</v>
      </c>
      <c r="H31" s="1594"/>
      <c r="I31" s="1594"/>
      <c r="J31" s="225"/>
      <c r="K31" s="478"/>
      <c r="AF31" s="1549">
        <v>19</v>
      </c>
    </row>
    <row r="32" spans="1:32" s="2519" customFormat="1" ht="35.65" customHeight="1">
      <c r="A32" s="910"/>
      <c r="C32" s="1554"/>
      <c r="D32" s="1556"/>
      <c r="E32" s="1593" t="s">
        <v>743</v>
      </c>
      <c r="F32" s="878" t="s">
        <v>744</v>
      </c>
      <c r="G32" s="1562" t="s">
        <v>554</v>
      </c>
      <c r="H32" s="514">
        <f>SUM(H33:H34)</f>
        <v>0</v>
      </c>
      <c r="I32" s="514">
        <f>SUM(I33:I34)</f>
        <v>0</v>
      </c>
      <c r="J32" s="225" t="s">
        <v>745</v>
      </c>
      <c r="K32" s="478"/>
      <c r="L32" s="1554"/>
      <c r="M32" s="1554"/>
      <c r="R32" s="1554"/>
      <c r="U32" s="479"/>
      <c r="AA32" s="1550"/>
      <c r="AB32" s="1550"/>
      <c r="AC32" s="1550"/>
      <c r="AD32" s="1550"/>
      <c r="AE32" s="1550"/>
      <c r="AF32" s="1078">
        <v>34</v>
      </c>
    </row>
    <row r="33" spans="1:32" s="2520" customFormat="1" ht="1.1499999999999999" customHeight="1">
      <c r="A33" s="1085"/>
      <c r="D33" s="483"/>
      <c r="E33" s="731" t="str">
        <f>E32&amp;".0"</f>
        <v>2.8.0</v>
      </c>
      <c r="F33" s="914"/>
      <c r="G33" s="486"/>
      <c r="H33" s="915"/>
      <c r="I33" s="915"/>
      <c r="J33" s="916"/>
      <c r="AF33" s="1554">
        <v>1</v>
      </c>
    </row>
    <row r="34" spans="1:32" s="2519" customFormat="1" ht="19.899999999999999" customHeight="1">
      <c r="A34" s="910"/>
      <c r="C34" s="1554"/>
      <c r="D34" s="1551"/>
      <c r="E34" s="505"/>
      <c r="F34" s="1584" t="s">
        <v>579</v>
      </c>
      <c r="G34" s="507"/>
      <c r="H34" s="508"/>
      <c r="I34" s="508"/>
      <c r="J34" s="237" t="s">
        <v>746</v>
      </c>
      <c r="K34" s="478"/>
      <c r="L34" s="1554"/>
      <c r="M34" s="1554"/>
      <c r="R34" s="1554"/>
      <c r="U34" s="479"/>
      <c r="AA34" s="1550"/>
      <c r="AB34" s="1550"/>
      <c r="AC34" s="1550"/>
      <c r="AD34" s="1550"/>
      <c r="AE34" s="1550"/>
      <c r="AF34" s="1078">
        <v>19</v>
      </c>
    </row>
    <row r="35" spans="1:32" ht="60" customHeight="1">
      <c r="D35" s="1556"/>
      <c r="E35" s="1593" t="s">
        <v>747</v>
      </c>
      <c r="F35" s="878" t="s">
        <v>748</v>
      </c>
      <c r="G35" s="1572" t="s">
        <v>554</v>
      </c>
      <c r="H35" s="1594"/>
      <c r="I35" s="1594"/>
      <c r="J35" s="225" t="s">
        <v>749</v>
      </c>
      <c r="K35" s="478"/>
      <c r="AF35" s="1549">
        <v>57</v>
      </c>
    </row>
    <row r="36" spans="1:32" s="2519" customFormat="1" ht="24" customHeight="1">
      <c r="A36" s="912" t="s">
        <v>580</v>
      </c>
      <c r="C36" s="1554"/>
      <c r="D36" s="1556"/>
      <c r="E36" s="1582" t="s">
        <v>89</v>
      </c>
      <c r="F36" s="642" t="s">
        <v>750</v>
      </c>
      <c r="G36" s="1561" t="s">
        <v>554</v>
      </c>
      <c r="H36" s="492"/>
      <c r="I36" s="492"/>
      <c r="J36" s="225" t="s">
        <v>751</v>
      </c>
      <c r="K36" s="478"/>
      <c r="L36" s="1554"/>
      <c r="M36" s="1554"/>
      <c r="R36" s="1554"/>
      <c r="U36" s="479"/>
      <c r="AA36" s="1550"/>
      <c r="AB36" s="1550"/>
      <c r="AC36" s="1550"/>
      <c r="AD36" s="1550"/>
      <c r="AE36" s="1550"/>
      <c r="AF36" s="1078">
        <v>23</v>
      </c>
    </row>
    <row r="37" spans="1:32" s="2519" customFormat="1" ht="35.65" customHeight="1">
      <c r="A37" s="912"/>
      <c r="C37" s="1554"/>
      <c r="D37" s="1556"/>
      <c r="E37" s="1582" t="s">
        <v>326</v>
      </c>
      <c r="F37" s="878" t="s">
        <v>752</v>
      </c>
      <c r="G37" s="1572"/>
      <c r="H37" s="492"/>
      <c r="I37" s="492"/>
      <c r="J37" s="225"/>
      <c r="K37" s="478"/>
      <c r="L37" s="1554"/>
      <c r="M37" s="1554"/>
      <c r="R37" s="1554"/>
      <c r="U37" s="479"/>
      <c r="AA37" s="1550"/>
      <c r="AB37" s="1550"/>
      <c r="AC37" s="1550"/>
      <c r="AD37" s="1550"/>
      <c r="AE37" s="1550"/>
      <c r="AF37" s="1078">
        <v>34</v>
      </c>
    </row>
    <row r="38" spans="1:32" s="2519" customFormat="1" ht="19.899999999999999" customHeight="1">
      <c r="A38" s="910"/>
      <c r="C38" s="1554"/>
      <c r="D38" s="510"/>
      <c r="E38" s="1582" t="s">
        <v>90</v>
      </c>
      <c r="F38" s="642" t="s">
        <v>753</v>
      </c>
      <c r="G38" s="1561" t="s">
        <v>554</v>
      </c>
      <c r="H38" s="492"/>
      <c r="I38" s="492"/>
      <c r="J38" s="225" t="s">
        <v>754</v>
      </c>
      <c r="K38" s="478"/>
      <c r="L38" s="1554"/>
      <c r="M38" s="1554"/>
      <c r="R38" s="1554"/>
      <c r="U38" s="479"/>
      <c r="AA38" s="1550"/>
      <c r="AB38" s="1550"/>
      <c r="AC38" s="1550"/>
      <c r="AD38" s="1550"/>
      <c r="AE38" s="1550"/>
      <c r="AF38" s="1078">
        <v>19</v>
      </c>
    </row>
    <row r="39" spans="1:32" s="2519" customFormat="1" ht="24" customHeight="1">
      <c r="A39" s="910"/>
      <c r="C39" s="1554"/>
      <c r="D39" s="510"/>
      <c r="E39" s="1582" t="s">
        <v>755</v>
      </c>
      <c r="F39" s="878" t="s">
        <v>756</v>
      </c>
      <c r="G39" s="1572" t="s">
        <v>554</v>
      </c>
      <c r="H39" s="492"/>
      <c r="I39" s="492"/>
      <c r="J39" s="225" t="s">
        <v>757</v>
      </c>
      <c r="K39" s="478"/>
      <c r="L39" s="1554"/>
      <c r="M39" s="1554"/>
      <c r="R39" s="1554"/>
      <c r="U39" s="479"/>
      <c r="AA39" s="1550"/>
      <c r="AB39" s="1550"/>
      <c r="AC39" s="1550"/>
      <c r="AD39" s="1550"/>
      <c r="AE39" s="1550"/>
      <c r="AF39" s="1078">
        <v>23</v>
      </c>
    </row>
    <row r="40" spans="1:32" s="2519" customFormat="1" ht="24" customHeight="1">
      <c r="A40" s="910"/>
      <c r="C40" s="1554"/>
      <c r="D40" s="1556"/>
      <c r="E40" s="1582" t="s">
        <v>758</v>
      </c>
      <c r="F40" s="1568" t="s">
        <v>759</v>
      </c>
      <c r="G40" s="1561" t="s">
        <v>554</v>
      </c>
      <c r="H40" s="492"/>
      <c r="I40" s="492"/>
      <c r="J40" s="225" t="s">
        <v>760</v>
      </c>
      <c r="K40" s="478"/>
      <c r="L40" s="1554"/>
      <c r="M40" s="1554"/>
      <c r="R40" s="1554"/>
      <c r="U40" s="479"/>
      <c r="AA40" s="1550"/>
      <c r="AB40" s="1550"/>
      <c r="AC40" s="1550"/>
      <c r="AD40" s="1550"/>
      <c r="AE40" s="1550"/>
      <c r="AF40" s="1078">
        <v>23</v>
      </c>
    </row>
    <row r="41" spans="1:32" s="2519" customFormat="1" ht="24" customHeight="1">
      <c r="A41" s="910"/>
      <c r="C41" s="1554"/>
      <c r="D41" s="1556"/>
      <c r="E41" s="1582" t="s">
        <v>761</v>
      </c>
      <c r="F41" s="1568" t="s">
        <v>762</v>
      </c>
      <c r="G41" s="1561" t="s">
        <v>554</v>
      </c>
      <c r="H41" s="492"/>
      <c r="I41" s="492"/>
      <c r="J41" s="225" t="s">
        <v>763</v>
      </c>
      <c r="K41" s="478"/>
      <c r="L41" s="1554"/>
      <c r="M41" s="1554"/>
      <c r="R41" s="1554"/>
      <c r="U41" s="479"/>
      <c r="AA41" s="1550"/>
      <c r="AB41" s="1550"/>
      <c r="AC41" s="1550"/>
      <c r="AD41" s="1550"/>
      <c r="AE41" s="1550"/>
      <c r="AF41" s="1078">
        <v>23</v>
      </c>
    </row>
    <row r="42" spans="1:32" s="2519" customFormat="1" ht="24" customHeight="1">
      <c r="A42" s="910"/>
      <c r="C42" s="1554"/>
      <c r="D42" s="1556"/>
      <c r="E42" s="1582" t="s">
        <v>764</v>
      </c>
      <c r="F42" s="1568" t="s">
        <v>765</v>
      </c>
      <c r="G42" s="1561" t="s">
        <v>554</v>
      </c>
      <c r="H42" s="492"/>
      <c r="I42" s="492"/>
      <c r="J42" s="225" t="s">
        <v>766</v>
      </c>
      <c r="K42" s="478"/>
      <c r="L42" s="1554"/>
      <c r="M42" s="1554"/>
      <c r="R42" s="1554"/>
      <c r="U42" s="479"/>
      <c r="AA42" s="1550"/>
      <c r="AB42" s="1550"/>
      <c r="AC42" s="1550"/>
      <c r="AD42" s="1550"/>
      <c r="AE42" s="1550"/>
      <c r="AF42" s="1078">
        <v>23</v>
      </c>
    </row>
    <row r="43" spans="1:32" s="2519" customFormat="1" ht="35.65" customHeight="1">
      <c r="A43" s="910"/>
      <c r="C43" s="1554" t="s">
        <v>590</v>
      </c>
      <c r="D43" s="1556"/>
      <c r="E43" s="1582" t="s">
        <v>110</v>
      </c>
      <c r="F43" s="642" t="s">
        <v>631</v>
      </c>
      <c r="G43" s="1564" t="s">
        <v>767</v>
      </c>
      <c r="H43" s="336"/>
      <c r="I43" s="336"/>
      <c r="J43" s="225" t="s">
        <v>768</v>
      </c>
      <c r="K43" s="478"/>
      <c r="L43" s="1554"/>
      <c r="M43" s="1554"/>
      <c r="R43" s="1554"/>
      <c r="U43" s="479"/>
      <c r="AA43" s="1550"/>
      <c r="AB43" s="1550"/>
      <c r="AC43" s="1550"/>
      <c r="AD43" s="1550"/>
      <c r="AE43" s="1550"/>
      <c r="AF43" s="1078">
        <v>34</v>
      </c>
    </row>
    <row r="44" spans="1:32" s="2519" customFormat="1" ht="35.65" customHeight="1">
      <c r="A44" s="910"/>
      <c r="C44" s="1554"/>
      <c r="D44" s="1556"/>
      <c r="E44" s="1582" t="s">
        <v>91</v>
      </c>
      <c r="F44" s="642" t="s">
        <v>769</v>
      </c>
      <c r="G44" s="1561" t="s">
        <v>770</v>
      </c>
      <c r="H44" s="480"/>
      <c r="I44" s="480"/>
      <c r="J44" s="225" t="s">
        <v>771</v>
      </c>
      <c r="K44" s="478"/>
      <c r="L44" s="1554"/>
      <c r="M44" s="1554"/>
      <c r="R44" s="1554"/>
      <c r="U44" s="479"/>
      <c r="AA44" s="1550"/>
      <c r="AB44" s="1550"/>
      <c r="AC44" s="1550"/>
      <c r="AD44" s="1550"/>
      <c r="AE44" s="1550"/>
      <c r="AF44" s="1078">
        <v>34</v>
      </c>
    </row>
    <row r="45" spans="1:32" s="2519" customFormat="1" ht="24" customHeight="1">
      <c r="A45" s="910"/>
      <c r="C45" s="1554"/>
      <c r="D45" s="1556"/>
      <c r="E45" s="1582" t="s">
        <v>92</v>
      </c>
      <c r="F45" s="642" t="s">
        <v>772</v>
      </c>
      <c r="G45" s="1572" t="s">
        <v>773</v>
      </c>
      <c r="H45" s="480"/>
      <c r="I45" s="480"/>
      <c r="J45" s="225" t="s">
        <v>774</v>
      </c>
      <c r="K45" s="478"/>
      <c r="L45" s="1554"/>
      <c r="M45" s="1554"/>
      <c r="R45" s="1554"/>
      <c r="U45" s="479"/>
      <c r="AA45" s="1550"/>
      <c r="AB45" s="1550"/>
      <c r="AC45" s="1550"/>
      <c r="AD45" s="1550"/>
      <c r="AE45" s="1550"/>
      <c r="AF45" s="1078">
        <v>23</v>
      </c>
    </row>
    <row r="46" spans="1:32" s="2519" customFormat="1" ht="19.899999999999999" customHeight="1">
      <c r="A46" s="910"/>
      <c r="C46" s="1554"/>
      <c r="D46" s="1556"/>
      <c r="E46" s="1582" t="s">
        <v>111</v>
      </c>
      <c r="F46" s="642" t="s">
        <v>775</v>
      </c>
      <c r="G46" s="1561" t="s">
        <v>592</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544"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544"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544"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544"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544"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544"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544"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544"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544"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544"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544"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544"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544"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544"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544"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544"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544"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544"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544"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544"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544"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544"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544"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544"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544"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544"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544"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544"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544"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544"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544"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544"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544"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544"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544"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544"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544"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544"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544"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544"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544"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544"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544"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544"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544"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544"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544"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544"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544"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544"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544"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544"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544"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544"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544"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544"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544"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544"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544"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544"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544"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544"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544"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544"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544"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544"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544"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544"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544"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544"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544"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544"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544"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544"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544"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544"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544"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544"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544"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544"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544"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544"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544"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544"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544"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544"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544"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544"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544"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544"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544"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544"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544"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544"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544"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544"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544"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544"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544"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544"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544"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544"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544"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544"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544"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544"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544"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544"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544"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544"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544"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544"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544"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544"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544"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544"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544"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544"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544"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544"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544"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544"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544"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544"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544"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544"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544"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544"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544"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544"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544"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544"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544"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544"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544"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544"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544"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544"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544"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544"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544"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544"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544"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544"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544"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544"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544"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544"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544"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544"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544"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544"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544"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544"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544"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81</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554" hidden="1" customWidth="1"/>
    <col min="2" max="2" width="16.85546875" style="2519" hidden="1" customWidth="1"/>
    <col min="3" max="3" width="5.5703125" style="2520" hidden="1" customWidth="1"/>
    <col min="4" max="4" width="3" style="2513" customWidth="1"/>
    <col min="5" max="5" width="7" style="2513" customWidth="1"/>
    <col min="6" max="6" width="54" style="2513" customWidth="1"/>
    <col min="7" max="7" width="10" style="2513" customWidth="1"/>
    <col min="8" max="8" width="40.7109375" style="2513" hidden="1" customWidth="1"/>
    <col min="9" max="9" width="40" style="2513" customWidth="1"/>
    <col min="10" max="10" width="102" style="2513" customWidth="1"/>
    <col min="11" max="11" width="9" style="2519" customWidth="1"/>
    <col min="12" max="12" width="5" style="2520" customWidth="1"/>
    <col min="13" max="13" width="3" style="2520" customWidth="1"/>
    <col min="14" max="17" width="3" style="2519" customWidth="1"/>
    <col min="18" max="18" width="10" style="2520" customWidth="1"/>
    <col min="19" max="19" width="34" style="2519" customWidth="1"/>
    <col min="20" max="20" width="9" style="2519" customWidth="1"/>
    <col min="21" max="21" width="8" style="2555" customWidth="1"/>
    <col min="22" max="26" width="8" style="2519" customWidth="1"/>
    <col min="27" max="31" width="8" style="2511" customWidth="1"/>
    <col min="32" max="32" width="9.140625" style="2513" hidden="1"/>
  </cols>
  <sheetData>
    <row r="1" spans="1:32" s="2519" customFormat="1" ht="22.5" hidden="1" customHeight="1">
      <c r="A1" s="910"/>
      <c r="C1" s="1554"/>
      <c r="D1" s="472"/>
      <c r="H1" s="1078">
        <v>4</v>
      </c>
      <c r="I1" s="1078">
        <v>4</v>
      </c>
      <c r="L1" s="1554"/>
      <c r="M1" s="1554"/>
      <c r="R1" s="1554"/>
      <c r="AF1" s="1078" t="s">
        <v>14</v>
      </c>
    </row>
    <row r="2" spans="1:32" s="2519" customFormat="1" ht="22.5" hidden="1" customHeight="1">
      <c r="A2" s="910"/>
      <c r="C2" s="1554"/>
      <c r="D2" s="473"/>
      <c r="E2" s="1576"/>
      <c r="F2" s="475"/>
      <c r="G2" s="1575" t="s">
        <v>554</v>
      </c>
      <c r="H2" s="476"/>
      <c r="I2" s="476"/>
      <c r="J2" s="477" t="s">
        <v>557</v>
      </c>
      <c r="K2" s="478"/>
      <c r="L2" s="1554"/>
      <c r="M2" s="1554"/>
      <c r="R2" s="1554"/>
      <c r="U2" s="479"/>
      <c r="AA2" s="1550"/>
      <c r="AB2" s="1550"/>
      <c r="AC2" s="1550"/>
      <c r="AD2" s="1550"/>
      <c r="AE2" s="1550"/>
      <c r="AF2" s="1078">
        <v>0</v>
      </c>
    </row>
    <row r="3" spans="1:32" ht="11.25" hidden="1" customHeight="1">
      <c r="AF3" s="1549">
        <v>0</v>
      </c>
    </row>
    <row r="4" spans="1:32" s="2511"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749" t="s">
        <v>776</v>
      </c>
      <c r="F6" s="2749"/>
      <c r="G6" s="2749"/>
      <c r="H6" s="2749"/>
      <c r="I6" s="2749"/>
      <c r="J6" s="491"/>
      <c r="AF6" s="1549">
        <v>32</v>
      </c>
    </row>
    <row r="7" spans="1:32" ht="25.15" customHeight="1">
      <c r="E7" s="2696" t="str">
        <f>IF(org=0,"Не определено",org)</f>
        <v>ООО "Ноябрьская ПГЭ"</v>
      </c>
      <c r="F7" s="2696"/>
      <c r="G7" s="2696"/>
      <c r="H7" s="2696"/>
      <c r="I7" s="2696"/>
      <c r="AF7" s="1549">
        <v>24</v>
      </c>
    </row>
    <row r="8" spans="1:32" ht="11.45" customHeight="1">
      <c r="E8" s="1053"/>
      <c r="F8" s="1053"/>
      <c r="G8" s="1053"/>
      <c r="H8" s="1053"/>
      <c r="I8" s="1053"/>
      <c r="AF8" s="1549">
        <v>11</v>
      </c>
    </row>
    <row r="9" spans="1:32" s="2520" customFormat="1" ht="1.1499999999999999" customHeight="1">
      <c r="A9" s="1085"/>
      <c r="D9" s="1560"/>
      <c r="H9" s="813"/>
      <c r="I9" s="813" t="s">
        <v>116</v>
      </c>
      <c r="AF9" s="1554">
        <v>1</v>
      </c>
    </row>
    <row r="10" spans="1:32" ht="11.45" customHeight="1">
      <c r="E10" s="646"/>
      <c r="F10" s="2849" t="s">
        <v>104</v>
      </c>
      <c r="G10" s="2850"/>
      <c r="H10" s="1577" t="str">
        <f>IF(H9="","",INDEX(DIFFERENTIATION_UNMERGE_VD,MATCH(H9,DIFFERENTIATION_ID_DIFF,0)))</f>
        <v/>
      </c>
      <c r="I10" s="1577">
        <f>IF(I9="","",INDEX(DIFFERENTIATION_UNMERGE_VD,MATCH(I9,DIFFERENTIATION_ID_DIFF,0)))</f>
        <v>0</v>
      </c>
      <c r="J10" s="2638"/>
      <c r="AF10" s="1549">
        <v>11</v>
      </c>
    </row>
    <row r="11" spans="1:32" ht="11.45" customHeight="1">
      <c r="E11" s="646"/>
      <c r="F11" s="2849" t="s">
        <v>566</v>
      </c>
      <c r="G11" s="2850"/>
      <c r="H11" s="1577" t="str">
        <f>IF(H9="","",INDEX(DIFFERENTIATION_UNMERGE_AREA,MATCH(H9,DIFFERENTIATION_ID_DIFF,0)))</f>
        <v/>
      </c>
      <c r="I11" s="1577" t="str">
        <f>IF(I9="","",INDEX(DIFFERENTIATION_UNMERGE_AREA,MATCH(I9,DIFFERENTIATION_ID_DIFF,0)))</f>
        <v/>
      </c>
      <c r="J11" s="2638"/>
      <c r="AF11" s="1549">
        <v>11</v>
      </c>
    </row>
    <row r="12" spans="1:32" ht="11.25" hidden="1" customHeight="1">
      <c r="E12" s="1580"/>
      <c r="F12" s="2869" t="s">
        <v>567</v>
      </c>
      <c r="G12" s="2870"/>
      <c r="H12" s="1581" t="str">
        <f>IF(H9="","",INDEX(DIFFERENTIATION_UNMERGE_SYSTEM,MATCH(H9,DIFFERENTIATION_ID_DIFF,0)))</f>
        <v/>
      </c>
      <c r="I12" s="1581" t="str">
        <f>IF(I9="","",INDEX(DIFFERENTIATION_UNMERGE_SYSTEM,MATCH(I9,DIFFERENTIATION_ID_DIFF,0)))</f>
        <v>без дифференциации</v>
      </c>
      <c r="J12" s="2638"/>
      <c r="AF12" s="1549">
        <v>0</v>
      </c>
    </row>
    <row r="13" spans="1:32" ht="11.45" customHeight="1">
      <c r="E13" s="2851" t="s">
        <v>302</v>
      </c>
      <c r="F13" s="2852"/>
      <c r="G13" s="2852"/>
      <c r="H13" s="1574"/>
      <c r="I13" s="1574"/>
      <c r="J13" s="2638"/>
      <c r="AF13" s="1549">
        <v>11</v>
      </c>
    </row>
    <row r="14" spans="1:32" ht="24" customHeight="1">
      <c r="E14" s="1575" t="s">
        <v>87</v>
      </c>
      <c r="F14" s="1578" t="s">
        <v>304</v>
      </c>
      <c r="G14" s="1578" t="s">
        <v>568</v>
      </c>
      <c r="H14" s="1578" t="s">
        <v>305</v>
      </c>
      <c r="I14" s="1578" t="s">
        <v>305</v>
      </c>
      <c r="J14" s="2638"/>
      <c r="AF14" s="1549">
        <v>23</v>
      </c>
    </row>
    <row r="15" spans="1:32" ht="19.899999999999999" customHeight="1">
      <c r="D15" s="1556"/>
      <c r="E15" s="1548" t="s">
        <v>108</v>
      </c>
      <c r="F15" s="642" t="s">
        <v>777</v>
      </c>
      <c r="G15" s="1575" t="s">
        <v>554</v>
      </c>
      <c r="H15" s="492"/>
      <c r="I15" s="492"/>
      <c r="J15" s="225" t="s">
        <v>778</v>
      </c>
      <c r="K15" s="478" t="s">
        <v>632</v>
      </c>
      <c r="AF15" s="1549">
        <v>19</v>
      </c>
    </row>
    <row r="16" spans="1:32" ht="24" customHeight="1">
      <c r="D16" s="1556"/>
      <c r="E16" s="1548" t="s">
        <v>109</v>
      </c>
      <c r="F16" s="1583" t="s">
        <v>779</v>
      </c>
      <c r="G16" s="1575" t="s">
        <v>554</v>
      </c>
      <c r="H16" s="493">
        <f>SUM(H17,H20:H27)</f>
        <v>0</v>
      </c>
      <c r="I16" s="493">
        <f>SUM(I17,I20:I27)</f>
        <v>0</v>
      </c>
      <c r="J16" s="225" t="s">
        <v>780</v>
      </c>
      <c r="K16" s="478" t="s">
        <v>632</v>
      </c>
      <c r="AF16" s="1549">
        <v>23</v>
      </c>
    </row>
    <row r="17" spans="1:32" ht="35.65" customHeight="1">
      <c r="D17" s="1556"/>
      <c r="E17" s="1582" t="s">
        <v>710</v>
      </c>
      <c r="F17" s="1585" t="s">
        <v>781</v>
      </c>
      <c r="G17" s="1572" t="s">
        <v>554</v>
      </c>
      <c r="H17" s="492"/>
      <c r="I17" s="492"/>
      <c r="J17" s="225" t="s">
        <v>782</v>
      </c>
      <c r="K17" s="478"/>
      <c r="AF17" s="1549">
        <v>34</v>
      </c>
    </row>
    <row r="18" spans="1:32" ht="19.899999999999999" customHeight="1">
      <c r="D18" s="1556"/>
      <c r="E18" s="1582" t="s">
        <v>713</v>
      </c>
      <c r="F18" s="1586" t="s">
        <v>783</v>
      </c>
      <c r="G18" s="1572" t="s">
        <v>554</v>
      </c>
      <c r="H18" s="492"/>
      <c r="I18" s="492"/>
      <c r="J18" s="225"/>
      <c r="K18" s="478"/>
      <c r="AF18" s="1549">
        <v>19</v>
      </c>
    </row>
    <row r="19" spans="1:32" ht="24" customHeight="1">
      <c r="D19" s="1556"/>
      <c r="E19" s="1582" t="s">
        <v>716</v>
      </c>
      <c r="F19" s="1586" t="s">
        <v>784</v>
      </c>
      <c r="G19" s="1572" t="s">
        <v>554</v>
      </c>
      <c r="H19" s="492"/>
      <c r="I19" s="492"/>
      <c r="J19" s="225"/>
      <c r="K19" s="478"/>
      <c r="AF19" s="1549">
        <v>23</v>
      </c>
    </row>
    <row r="20" spans="1:32" ht="35.65" customHeight="1">
      <c r="D20" s="1556"/>
      <c r="E20" s="1582" t="s">
        <v>309</v>
      </c>
      <c r="F20" s="1585" t="s">
        <v>785</v>
      </c>
      <c r="G20" s="1572" t="s">
        <v>554</v>
      </c>
      <c r="H20" s="492"/>
      <c r="I20" s="492"/>
      <c r="J20" s="225"/>
      <c r="K20" s="478"/>
      <c r="AF20" s="1549">
        <v>34</v>
      </c>
    </row>
    <row r="21" spans="1:32" ht="48.2" customHeight="1">
      <c r="D21" s="1556"/>
      <c r="E21" s="1582" t="s">
        <v>312</v>
      </c>
      <c r="F21" s="1585" t="s">
        <v>786</v>
      </c>
      <c r="G21" s="1572" t="s">
        <v>554</v>
      </c>
      <c r="H21" s="492"/>
      <c r="I21" s="492"/>
      <c r="J21" s="225"/>
      <c r="K21" s="478"/>
      <c r="AF21" s="1549">
        <v>46</v>
      </c>
    </row>
    <row r="22" spans="1:32" ht="60" customHeight="1">
      <c r="D22" s="1556"/>
      <c r="E22" s="1582" t="s">
        <v>730</v>
      </c>
      <c r="F22" s="1585" t="s">
        <v>787</v>
      </c>
      <c r="G22" s="1572" t="s">
        <v>554</v>
      </c>
      <c r="H22" s="492"/>
      <c r="I22" s="492"/>
      <c r="J22" s="225"/>
      <c r="K22" s="478"/>
      <c r="AF22" s="1549">
        <v>57</v>
      </c>
    </row>
    <row r="23" spans="1:32" ht="35.65" customHeight="1">
      <c r="D23" s="1556"/>
      <c r="E23" s="1582" t="s">
        <v>737</v>
      </c>
      <c r="F23" s="1585" t="s">
        <v>788</v>
      </c>
      <c r="G23" s="1572" t="s">
        <v>554</v>
      </c>
      <c r="H23" s="492"/>
      <c r="I23" s="492"/>
      <c r="J23" s="225"/>
      <c r="K23" s="478"/>
      <c r="AF23" s="1549">
        <v>34</v>
      </c>
    </row>
    <row r="24" spans="1:32" ht="35.65" customHeight="1">
      <c r="D24" s="1556"/>
      <c r="E24" s="1582" t="s">
        <v>739</v>
      </c>
      <c r="F24" s="1585" t="s">
        <v>789</v>
      </c>
      <c r="G24" s="1572" t="s">
        <v>554</v>
      </c>
      <c r="H24" s="492"/>
      <c r="I24" s="492"/>
      <c r="J24" s="225"/>
      <c r="K24" s="478"/>
      <c r="AF24" s="1549">
        <v>34</v>
      </c>
    </row>
    <row r="25" spans="1:32" ht="24" customHeight="1">
      <c r="D25" s="1556"/>
      <c r="E25" s="1582" t="s">
        <v>741</v>
      </c>
      <c r="F25" s="1585" t="s">
        <v>790</v>
      </c>
      <c r="G25" s="1572" t="s">
        <v>554</v>
      </c>
      <c r="H25" s="492"/>
      <c r="I25" s="492"/>
      <c r="J25" s="225"/>
      <c r="K25" s="478"/>
      <c r="AF25" s="1549">
        <v>23</v>
      </c>
    </row>
    <row r="26" spans="1:32" ht="76.5" customHeight="1">
      <c r="D26" s="1556"/>
      <c r="E26" s="1582" t="s">
        <v>743</v>
      </c>
      <c r="F26" s="1585" t="s">
        <v>791</v>
      </c>
      <c r="G26" s="1572" t="s">
        <v>554</v>
      </c>
      <c r="H26" s="492"/>
      <c r="I26" s="492"/>
      <c r="J26" s="225"/>
      <c r="K26" s="478"/>
      <c r="AF26" s="1549">
        <v>73</v>
      </c>
    </row>
    <row r="27" spans="1:32" s="2519" customFormat="1" ht="35.65" customHeight="1">
      <c r="A27" s="910"/>
      <c r="C27" s="1554"/>
      <c r="D27" s="1556"/>
      <c r="E27" s="1547" t="s">
        <v>747</v>
      </c>
      <c r="F27" s="1546" t="s">
        <v>792</v>
      </c>
      <c r="G27" s="1573" t="s">
        <v>554</v>
      </c>
      <c r="H27" s="514">
        <f>SUM(H28:H29)</f>
        <v>0</v>
      </c>
      <c r="I27" s="514">
        <f>SUM(I28:I29)</f>
        <v>0</v>
      </c>
      <c r="J27" s="225" t="s">
        <v>745</v>
      </c>
      <c r="K27" s="478"/>
      <c r="L27" s="1554"/>
      <c r="M27" s="1554"/>
      <c r="R27" s="1554"/>
      <c r="U27" s="479"/>
      <c r="AA27" s="1550"/>
      <c r="AB27" s="1550"/>
      <c r="AC27" s="1550"/>
      <c r="AD27" s="1550"/>
      <c r="AE27" s="1550"/>
      <c r="AF27" s="1078">
        <v>34</v>
      </c>
    </row>
    <row r="28" spans="1:32" s="2520" customFormat="1" ht="1.1499999999999999" customHeight="1">
      <c r="A28" s="1085"/>
      <c r="D28" s="483"/>
      <c r="E28" s="731" t="str">
        <f>E27&amp;".0"</f>
        <v>2.9.0</v>
      </c>
      <c r="F28" s="914"/>
      <c r="G28" s="486"/>
      <c r="H28" s="915"/>
      <c r="I28" s="915"/>
      <c r="J28" s="916"/>
      <c r="AF28" s="1554">
        <v>1</v>
      </c>
    </row>
    <row r="29" spans="1:32" s="2519" customFormat="1" ht="19.899999999999999" customHeight="1">
      <c r="A29" s="910"/>
      <c r="C29" s="1554"/>
      <c r="D29" s="1551"/>
      <c r="E29" s="505"/>
      <c r="F29" s="1584" t="s">
        <v>579</v>
      </c>
      <c r="G29" s="507"/>
      <c r="H29" s="508"/>
      <c r="I29" s="508"/>
      <c r="J29" s="237" t="s">
        <v>746</v>
      </c>
      <c r="K29" s="478"/>
      <c r="L29" s="1554"/>
      <c r="M29" s="1554"/>
      <c r="R29" s="1554"/>
      <c r="U29" s="479"/>
      <c r="AA29" s="1550"/>
      <c r="AB29" s="1550"/>
      <c r="AC29" s="1550"/>
      <c r="AD29" s="1550"/>
      <c r="AE29" s="1550"/>
      <c r="AF29" s="1078">
        <v>19</v>
      </c>
    </row>
    <row r="30" spans="1:32" s="2519" customFormat="1" ht="24" customHeight="1">
      <c r="A30" s="910"/>
      <c r="C30" s="1554"/>
      <c r="D30" s="1556"/>
      <c r="E30" s="1582" t="s">
        <v>89</v>
      </c>
      <c r="F30" s="1579" t="s">
        <v>793</v>
      </c>
      <c r="G30" s="1572" t="s">
        <v>554</v>
      </c>
      <c r="H30" s="492"/>
      <c r="I30" s="492"/>
      <c r="J30" s="225"/>
      <c r="K30" s="478"/>
      <c r="L30" s="1554"/>
      <c r="M30" s="1554"/>
      <c r="R30" s="1554"/>
      <c r="U30" s="479"/>
      <c r="AA30" s="1550"/>
      <c r="AB30" s="1550"/>
      <c r="AC30" s="1550"/>
      <c r="AD30" s="1550"/>
      <c r="AE30" s="1550"/>
      <c r="AF30" s="1078">
        <v>23</v>
      </c>
    </row>
    <row r="31" spans="1:32" s="2519" customFormat="1" ht="35.65" customHeight="1">
      <c r="A31" s="910"/>
      <c r="C31" s="1554"/>
      <c r="D31" s="510"/>
      <c r="E31" s="1582" t="s">
        <v>90</v>
      </c>
      <c r="F31" s="1579" t="s">
        <v>794</v>
      </c>
      <c r="G31" s="1572" t="s">
        <v>554</v>
      </c>
      <c r="H31" s="492"/>
      <c r="I31" s="492"/>
      <c r="J31" s="225" t="s">
        <v>795</v>
      </c>
      <c r="K31" s="478"/>
      <c r="L31" s="1554"/>
      <c r="M31" s="1554"/>
      <c r="R31" s="1554"/>
      <c r="U31" s="479"/>
      <c r="AA31" s="1550"/>
      <c r="AB31" s="1550"/>
      <c r="AC31" s="1550"/>
      <c r="AD31" s="1550"/>
      <c r="AE31" s="1550"/>
      <c r="AF31" s="1078">
        <v>34</v>
      </c>
    </row>
    <row r="32" spans="1:32" s="2519" customFormat="1" ht="24" customHeight="1">
      <c r="A32" s="910"/>
      <c r="C32" s="1554"/>
      <c r="D32" s="1556"/>
      <c r="E32" s="1582" t="s">
        <v>755</v>
      </c>
      <c r="F32" s="625" t="s">
        <v>759</v>
      </c>
      <c r="G32" s="1572" t="s">
        <v>554</v>
      </c>
      <c r="H32" s="492"/>
      <c r="I32" s="492"/>
      <c r="J32" s="225" t="s">
        <v>796</v>
      </c>
      <c r="K32" s="478"/>
      <c r="L32" s="1554"/>
      <c r="M32" s="1554"/>
      <c r="R32" s="1554"/>
      <c r="U32" s="479"/>
      <c r="AA32" s="1550"/>
      <c r="AB32" s="1550"/>
      <c r="AC32" s="1550"/>
      <c r="AD32" s="1550"/>
      <c r="AE32" s="1550"/>
      <c r="AF32" s="1078">
        <v>23</v>
      </c>
    </row>
    <row r="33" spans="1:32" s="2519" customFormat="1" ht="24" customHeight="1">
      <c r="A33" s="910"/>
      <c r="C33" s="1554"/>
      <c r="D33" s="1556"/>
      <c r="E33" s="1582" t="s">
        <v>797</v>
      </c>
      <c r="F33" s="625" t="s">
        <v>798</v>
      </c>
      <c r="G33" s="1572" t="s">
        <v>554</v>
      </c>
      <c r="H33" s="492"/>
      <c r="I33" s="492"/>
      <c r="J33" s="225" t="s">
        <v>799</v>
      </c>
      <c r="K33" s="478"/>
      <c r="L33" s="1554"/>
      <c r="M33" s="1554"/>
      <c r="R33" s="1554"/>
      <c r="U33" s="479"/>
      <c r="AA33" s="1550"/>
      <c r="AB33" s="1550"/>
      <c r="AC33" s="1550"/>
      <c r="AD33" s="1550"/>
      <c r="AE33" s="1550"/>
      <c r="AF33" s="1078">
        <v>23</v>
      </c>
    </row>
    <row r="34" spans="1:32" s="2519" customFormat="1" ht="24" customHeight="1">
      <c r="A34" s="910"/>
      <c r="C34" s="1554"/>
      <c r="D34" s="1556"/>
      <c r="E34" s="1582" t="s">
        <v>800</v>
      </c>
      <c r="F34" s="625" t="s">
        <v>765</v>
      </c>
      <c r="G34" s="1572" t="s">
        <v>554</v>
      </c>
      <c r="H34" s="492"/>
      <c r="I34" s="492"/>
      <c r="J34" s="225" t="s">
        <v>801</v>
      </c>
      <c r="K34" s="478"/>
      <c r="L34" s="1554"/>
      <c r="M34" s="1554"/>
      <c r="R34" s="1554"/>
      <c r="U34" s="479"/>
      <c r="AA34" s="1550"/>
      <c r="AB34" s="1550"/>
      <c r="AC34" s="1550"/>
      <c r="AD34" s="1550"/>
      <c r="AE34" s="1550"/>
      <c r="AF34" s="1078">
        <v>23</v>
      </c>
    </row>
    <row r="35" spans="1:32" s="2519" customFormat="1" ht="35.65" customHeight="1">
      <c r="A35" s="910"/>
      <c r="C35" s="1554" t="s">
        <v>590</v>
      </c>
      <c r="D35" s="1556"/>
      <c r="E35" s="1582" t="s">
        <v>110</v>
      </c>
      <c r="F35" s="1579" t="s">
        <v>631</v>
      </c>
      <c r="G35" s="1575" t="s">
        <v>308</v>
      </c>
      <c r="H35" s="336"/>
      <c r="I35" s="336"/>
      <c r="J35" s="225" t="s">
        <v>802</v>
      </c>
      <c r="K35" s="478"/>
      <c r="L35" s="1554"/>
      <c r="M35" s="1554"/>
      <c r="R35" s="1554"/>
      <c r="U35" s="479"/>
      <c r="AA35" s="1550"/>
      <c r="AB35" s="1550"/>
      <c r="AC35" s="1550"/>
      <c r="AD35" s="1550"/>
      <c r="AE35" s="1550"/>
      <c r="AF35" s="1078">
        <v>34</v>
      </c>
    </row>
    <row r="36" spans="1:32" s="2519" customFormat="1" ht="35.65" customHeight="1">
      <c r="A36" s="910"/>
      <c r="C36" s="1554"/>
      <c r="D36" s="1556"/>
      <c r="E36" s="1582" t="s">
        <v>91</v>
      </c>
      <c r="F36" s="1579" t="s">
        <v>803</v>
      </c>
      <c r="G36" s="1572" t="s">
        <v>770</v>
      </c>
      <c r="H36" s="480"/>
      <c r="I36" s="480"/>
      <c r="J36" s="225" t="s">
        <v>771</v>
      </c>
      <c r="K36" s="478"/>
      <c r="L36" s="1554"/>
      <c r="M36" s="1554"/>
      <c r="R36" s="1554"/>
      <c r="U36" s="479"/>
      <c r="AA36" s="1550"/>
      <c r="AB36" s="1550"/>
      <c r="AC36" s="1550"/>
      <c r="AD36" s="1550"/>
      <c r="AE36" s="1550"/>
      <c r="AF36" s="1078">
        <v>34</v>
      </c>
    </row>
    <row r="37" spans="1:32" s="2519" customFormat="1" ht="24" customHeight="1">
      <c r="A37" s="910"/>
      <c r="C37" s="1554"/>
      <c r="D37" s="1556"/>
      <c r="E37" s="1582" t="s">
        <v>92</v>
      </c>
      <c r="F37" s="1579" t="s">
        <v>804</v>
      </c>
      <c r="G37" s="1572" t="s">
        <v>773</v>
      </c>
      <c r="H37" s="480"/>
      <c r="I37" s="480"/>
      <c r="J37" s="225" t="s">
        <v>774</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805</v>
      </c>
      <c r="F39" s="2786" t="s">
        <v>806</v>
      </c>
      <c r="G39" s="2786"/>
      <c r="H39" s="304"/>
      <c r="I39" s="304"/>
      <c r="J39" s="304"/>
      <c r="AF39" s="1549">
        <v>26</v>
      </c>
    </row>
    <row r="40" spans="1:32" s="2544" customFormat="1" ht="39.75" customHeight="1">
      <c r="A40" s="910"/>
      <c r="B40" s="1554"/>
      <c r="C40" s="1554"/>
      <c r="D40" s="286"/>
      <c r="F40" s="2786" t="s">
        <v>807</v>
      </c>
      <c r="G40" s="2786"/>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544"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544"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544"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544"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544"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544"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544"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544"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544"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544"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544"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544"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544"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544"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544"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544"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544"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544"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544"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544"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544"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544"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544"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544"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544"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544"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544"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544"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544"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544"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544"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544"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544"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544"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544"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544"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544"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544"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544"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544"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544"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544"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544"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544"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544"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544"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544"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544"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544"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544"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544"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544"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544"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544"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544"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544"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544"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544"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544"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544"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544"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544"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544"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544"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544"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544"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544"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544"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544"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544"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544"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544"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544"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544"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544"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544"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544"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544"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544"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544"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544"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544"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544"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544"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544"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544"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544"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544"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544"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544"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544"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544"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544"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544"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544"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544"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544"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544"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544"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544"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544"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544"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544"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544"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544"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544"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544"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544"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544"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544"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544"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544"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544"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544"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544"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544"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544"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544"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544"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544"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544"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544"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544"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544"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544"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544"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544"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544"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544"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544"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544"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544"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544"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544"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544"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544"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544"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544"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544"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544"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544"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544"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544"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544"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544"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544"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544"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544"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544"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544"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544"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544"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544"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544"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544"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81</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557" hidden="1" customWidth="1"/>
    <col min="2" max="2" width="3.5703125" style="2520" hidden="1" customWidth="1"/>
    <col min="3" max="3" width="3" style="2513" customWidth="1"/>
    <col min="4" max="4" width="7" style="2513" customWidth="1"/>
    <col min="5" max="5" width="69" style="2513" customWidth="1"/>
    <col min="6" max="6" width="10" style="2513" customWidth="1"/>
    <col min="7" max="8" width="44" style="2513" hidden="1" customWidth="1"/>
    <col min="9" max="9" width="44" style="2513" customWidth="1"/>
    <col min="10" max="10" width="43" style="2513" customWidth="1"/>
    <col min="11" max="11" width="73" style="2513" customWidth="1"/>
    <col min="12" max="12" width="3" style="2513" customWidth="1"/>
    <col min="13" max="23" width="10" style="2513" customWidth="1"/>
    <col min="24" max="24" width="10.5703125" style="2513" hidden="1"/>
  </cols>
  <sheetData>
    <row r="1" spans="1:24" s="2519" customFormat="1" ht="22.5" hidden="1" customHeight="1">
      <c r="A1" s="471"/>
      <c r="B1" s="446"/>
      <c r="G1" s="352">
        <v>4</v>
      </c>
      <c r="I1" s="352">
        <v>4</v>
      </c>
      <c r="K1" s="352">
        <v>5</v>
      </c>
      <c r="X1" s="352" t="s">
        <v>14</v>
      </c>
    </row>
    <row r="2" spans="1:24" ht="3" customHeight="1">
      <c r="X2" s="440">
        <v>3</v>
      </c>
    </row>
    <row r="3" spans="1:24" ht="78.75" customHeight="1">
      <c r="D3" s="263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632"/>
      <c r="F3" s="2633"/>
      <c r="X3" s="440">
        <v>75</v>
      </c>
    </row>
    <row r="4" spans="1:24" s="2513" customFormat="1" ht="21" customHeight="1">
      <c r="A4" s="875"/>
      <c r="B4" s="446"/>
      <c r="D4" s="2729" t="str">
        <f>IF(org=0,"Не определено",org)</f>
        <v>ООО "Ноябрьская ПГЭ"</v>
      </c>
      <c r="E4" s="2730"/>
      <c r="F4" s="2731"/>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116</v>
      </c>
      <c r="J6" s="944"/>
      <c r="X6" s="440">
        <v>1</v>
      </c>
    </row>
    <row r="7" spans="1:24" ht="11.45" customHeight="1">
      <c r="D7" s="646"/>
      <c r="E7" s="2849" t="s">
        <v>104</v>
      </c>
      <c r="F7" s="2850"/>
      <c r="G7" s="2872" t="str">
        <f>IF(G6="","",INDEX(DIFFERENTIATION_UNMERGE_VD,MATCH(G6,DIFFERENTIATION_ID_DIFF,0)))</f>
        <v/>
      </c>
      <c r="H7" s="2873"/>
      <c r="I7" s="2872">
        <f>IF(I6="","",INDEX(DIFFERENTIATION_UNMERGE_VD,MATCH(I6,DIFFERENTIATION_ID_DIFF,0)))</f>
        <v>0</v>
      </c>
      <c r="J7" s="2873"/>
      <c r="K7" s="2695"/>
      <c r="L7" s="444"/>
      <c r="X7" s="440">
        <v>11</v>
      </c>
    </row>
    <row r="8" spans="1:24" ht="11.45" customHeight="1">
      <c r="A8" s="639"/>
      <c r="D8" s="646"/>
      <c r="E8" s="2849" t="s">
        <v>566</v>
      </c>
      <c r="F8" s="2850"/>
      <c r="G8" s="2872" t="str">
        <f>IF(G6="","",INDEX(DIFFERENTIATION_UNMERGE_AREA,MATCH(G6,DIFFERENTIATION_ID_DIFF,0)))</f>
        <v/>
      </c>
      <c r="H8" s="2873"/>
      <c r="I8" s="2872" t="str">
        <f>IF(I6="","",INDEX(DIFFERENTIATION_UNMERGE_AREA,MATCH(I6,DIFFERENTIATION_ID_DIFF,0)))</f>
        <v/>
      </c>
      <c r="J8" s="2873"/>
      <c r="K8" s="2714"/>
      <c r="L8" s="444"/>
      <c r="X8" s="440">
        <v>11</v>
      </c>
    </row>
    <row r="9" spans="1:24" ht="11.45" customHeight="1">
      <c r="A9" s="639"/>
      <c r="D9" s="646"/>
      <c r="E9" s="2849" t="s">
        <v>567</v>
      </c>
      <c r="F9" s="2850"/>
      <c r="G9" s="2872" t="str">
        <f>IF(G6="","",INDEX(DIFFERENTIATION_UNMERGE_SYSTEM,MATCH(G6,DIFFERENTIATION_ID_DIFF,0)))</f>
        <v/>
      </c>
      <c r="H9" s="2873"/>
      <c r="I9" s="2872" t="str">
        <f>IF(I6="","",INDEX(DIFFERENTIATION_UNMERGE_SYSTEM,MATCH(I6,DIFFERENTIATION_ID_DIFF,0)))</f>
        <v>без дифференциации</v>
      </c>
      <c r="J9" s="2873"/>
      <c r="K9" s="2714"/>
      <c r="L9" s="444"/>
      <c r="X9" s="440">
        <v>11</v>
      </c>
    </row>
    <row r="10" spans="1:24" s="2513" customFormat="1" ht="11.45" customHeight="1">
      <c r="A10" s="943"/>
      <c r="B10" s="446"/>
      <c r="D10" s="2610" t="s">
        <v>302</v>
      </c>
      <c r="E10" s="2615"/>
      <c r="F10" s="2615"/>
      <c r="G10" s="2615"/>
      <c r="H10" s="2615"/>
      <c r="I10" s="2615"/>
      <c r="J10" s="2609"/>
      <c r="K10" s="2714"/>
      <c r="L10" s="444"/>
      <c r="X10" s="691">
        <v>11</v>
      </c>
    </row>
    <row r="11" spans="1:24" s="2513" customFormat="1" ht="24" customHeight="1">
      <c r="A11" s="2786"/>
      <c r="B11" s="2786"/>
      <c r="C11" s="592"/>
      <c r="D11" s="638" t="s">
        <v>87</v>
      </c>
      <c r="E11" s="640" t="s">
        <v>808</v>
      </c>
      <c r="F11" s="640" t="s">
        <v>568</v>
      </c>
      <c r="G11" s="400" t="s">
        <v>305</v>
      </c>
      <c r="H11" s="400" t="s">
        <v>392</v>
      </c>
      <c r="I11" s="736" t="s">
        <v>305</v>
      </c>
      <c r="J11" s="737" t="s">
        <v>392</v>
      </c>
      <c r="K11" s="2744"/>
      <c r="L11" s="593"/>
      <c r="X11" s="444">
        <v>23</v>
      </c>
    </row>
    <row r="12" spans="1:24" s="2520" customFormat="1" ht="10.5" customHeight="1">
      <c r="A12" s="876"/>
      <c r="D12" s="947" t="s">
        <v>108</v>
      </c>
      <c r="E12" s="947" t="s">
        <v>109</v>
      </c>
      <c r="F12" s="947" t="s">
        <v>89</v>
      </c>
      <c r="G12" s="948" t="str">
        <f>G1&amp;".1"</f>
        <v>4.1</v>
      </c>
      <c r="H12" s="948" t="str">
        <f>G1&amp;".2"</f>
        <v>4.2</v>
      </c>
      <c r="I12" s="948" t="str">
        <f>I1&amp;".1"</f>
        <v>4.1</v>
      </c>
      <c r="J12" s="948" t="str">
        <f>I1&amp;".2"</f>
        <v>4.2</v>
      </c>
      <c r="K12" s="948"/>
      <c r="X12" s="446">
        <v>10</v>
      </c>
    </row>
    <row r="13" spans="1:24" ht="22.5" customHeight="1">
      <c r="A13" s="2871" t="s">
        <v>809</v>
      </c>
      <c r="D13" s="877" t="s">
        <v>108</v>
      </c>
      <c r="E13" s="215" t="s">
        <v>810</v>
      </c>
      <c r="F13" s="595" t="s">
        <v>811</v>
      </c>
      <c r="G13" s="492"/>
      <c r="H13" s="596"/>
      <c r="I13" s="492"/>
      <c r="J13" s="596"/>
      <c r="K13" s="225" t="s">
        <v>812</v>
      </c>
      <c r="L13" s="655"/>
      <c r="X13" s="440">
        <v>0</v>
      </c>
    </row>
    <row r="14" spans="1:24" ht="22.5" customHeight="1">
      <c r="A14" s="2871"/>
      <c r="D14" s="474" t="s">
        <v>109</v>
      </c>
      <c r="E14" s="215" t="s">
        <v>813</v>
      </c>
      <c r="F14" s="595" t="s">
        <v>814</v>
      </c>
      <c r="G14" s="492"/>
      <c r="H14" s="597"/>
      <c r="I14" s="492"/>
      <c r="J14" s="597"/>
      <c r="K14" s="225" t="s">
        <v>815</v>
      </c>
      <c r="L14" s="655"/>
      <c r="X14" s="440">
        <v>0</v>
      </c>
    </row>
    <row r="15" spans="1:24" s="2513" customFormat="1" ht="78.75" customHeight="1">
      <c r="A15" s="2871"/>
      <c r="B15" s="446"/>
      <c r="D15" s="877" t="s">
        <v>89</v>
      </c>
      <c r="E15" s="642" t="s">
        <v>816</v>
      </c>
      <c r="F15" s="874" t="s">
        <v>308</v>
      </c>
      <c r="G15" s="874" t="s">
        <v>308</v>
      </c>
      <c r="H15" s="45"/>
      <c r="I15" s="874" t="s">
        <v>308</v>
      </c>
      <c r="J15" s="45"/>
      <c r="K15" s="225" t="s">
        <v>817</v>
      </c>
      <c r="L15" s="655"/>
      <c r="X15" s="691">
        <v>0</v>
      </c>
    </row>
    <row r="16" spans="1:24" s="2513" customFormat="1" ht="22.5" customHeight="1">
      <c r="A16" s="2871"/>
      <c r="B16" s="446"/>
      <c r="D16" s="877" t="s">
        <v>326</v>
      </c>
      <c r="E16" s="878" t="s">
        <v>818</v>
      </c>
      <c r="F16" s="874" t="s">
        <v>819</v>
      </c>
      <c r="G16" s="746"/>
      <c r="H16" s="45"/>
      <c r="I16" s="746"/>
      <c r="J16" s="45"/>
      <c r="K16" s="225"/>
      <c r="L16" s="655"/>
      <c r="X16" s="691">
        <v>0</v>
      </c>
    </row>
    <row r="17" spans="1:24" s="2513" customFormat="1" ht="22.5" customHeight="1">
      <c r="A17" s="2871"/>
      <c r="B17" s="446"/>
      <c r="D17" s="877" t="s">
        <v>334</v>
      </c>
      <c r="E17" s="878" t="s">
        <v>820</v>
      </c>
      <c r="F17" s="874" t="s">
        <v>821</v>
      </c>
      <c r="G17" s="746"/>
      <c r="H17" s="45"/>
      <c r="I17" s="746"/>
      <c r="J17" s="45"/>
      <c r="K17" s="225"/>
      <c r="L17" s="655"/>
      <c r="X17" s="691">
        <v>0</v>
      </c>
    </row>
    <row r="18" spans="1:24" s="2513" customFormat="1" ht="33.75" customHeight="1">
      <c r="A18" s="2871"/>
      <c r="B18" s="446"/>
      <c r="D18" s="877" t="s">
        <v>336</v>
      </c>
      <c r="E18" s="878" t="s">
        <v>822</v>
      </c>
      <c r="F18" s="874" t="s">
        <v>573</v>
      </c>
      <c r="G18" s="615"/>
      <c r="H18" s="45"/>
      <c r="I18" s="615"/>
      <c r="J18" s="45"/>
      <c r="K18" s="225"/>
      <c r="L18" s="655"/>
      <c r="X18" s="691">
        <v>0</v>
      </c>
    </row>
    <row r="19" spans="1:24" ht="101.25" customHeight="1">
      <c r="A19" s="2871"/>
      <c r="D19" s="877" t="s">
        <v>90</v>
      </c>
      <c r="E19" s="215" t="s">
        <v>823</v>
      </c>
      <c r="F19" s="595" t="s">
        <v>548</v>
      </c>
      <c r="G19" s="598"/>
      <c r="H19" s="597"/>
      <c r="I19" s="879"/>
      <c r="J19" s="597"/>
      <c r="K19" s="225" t="s">
        <v>824</v>
      </c>
      <c r="L19" s="655"/>
      <c r="X19" s="440">
        <v>0</v>
      </c>
    </row>
    <row r="20" spans="1:24" s="2513" customFormat="1" ht="18.75" customHeight="1">
      <c r="A20" s="2871"/>
      <c r="C20" s="880"/>
      <c r="D20" s="877" t="s">
        <v>755</v>
      </c>
      <c r="E20" s="878" t="s">
        <v>825</v>
      </c>
      <c r="F20" s="874" t="s">
        <v>308</v>
      </c>
      <c r="G20" s="874" t="s">
        <v>308</v>
      </c>
      <c r="H20" s="873" t="s">
        <v>308</v>
      </c>
      <c r="I20" s="874" t="s">
        <v>308</v>
      </c>
      <c r="J20" s="873" t="s">
        <v>308</v>
      </c>
      <c r="K20" s="872"/>
      <c r="L20" s="655"/>
      <c r="W20" s="610"/>
      <c r="X20" s="691">
        <v>0</v>
      </c>
    </row>
    <row r="21" spans="1:24" s="2513" customFormat="1" ht="33.75" customHeight="1">
      <c r="A21" s="2871"/>
      <c r="C21" s="880"/>
      <c r="D21" s="877" t="s">
        <v>758</v>
      </c>
      <c r="E21" s="511" t="s">
        <v>826</v>
      </c>
      <c r="F21" s="874" t="s">
        <v>827</v>
      </c>
      <c r="G21" s="615"/>
      <c r="H21" s="45"/>
      <c r="I21" s="615"/>
      <c r="J21" s="45"/>
      <c r="K21" s="872"/>
      <c r="L21" s="655"/>
      <c r="W21" s="610"/>
      <c r="X21" s="691">
        <v>0</v>
      </c>
    </row>
    <row r="22" spans="1:24" s="2513" customFormat="1" ht="33.75" customHeight="1">
      <c r="A22" s="2871"/>
      <c r="C22" s="880"/>
      <c r="D22" s="877" t="s">
        <v>761</v>
      </c>
      <c r="E22" s="511" t="s">
        <v>828</v>
      </c>
      <c r="F22" s="874" t="s">
        <v>829</v>
      </c>
      <c r="G22" s="615"/>
      <c r="H22" s="45"/>
      <c r="I22" s="615"/>
      <c r="J22" s="45"/>
      <c r="K22" s="872"/>
      <c r="L22" s="655"/>
      <c r="W22" s="610"/>
      <c r="X22" s="691">
        <v>0</v>
      </c>
    </row>
    <row r="23" spans="1:24" s="2513" customFormat="1" ht="22.5" customHeight="1">
      <c r="A23" s="2871"/>
      <c r="C23" s="880"/>
      <c r="D23" s="877" t="s">
        <v>797</v>
      </c>
      <c r="E23" s="878" t="s">
        <v>830</v>
      </c>
      <c r="F23" s="874" t="s">
        <v>308</v>
      </c>
      <c r="G23" s="874" t="s">
        <v>308</v>
      </c>
      <c r="H23" s="873" t="s">
        <v>308</v>
      </c>
      <c r="I23" s="874" t="s">
        <v>308</v>
      </c>
      <c r="J23" s="873" t="s">
        <v>308</v>
      </c>
      <c r="K23" s="872"/>
      <c r="L23" s="655"/>
      <c r="W23" s="610"/>
      <c r="X23" s="691">
        <v>0</v>
      </c>
    </row>
    <row r="24" spans="1:24" s="2513" customFormat="1" ht="22.5" customHeight="1">
      <c r="A24" s="2871"/>
      <c r="C24" s="880"/>
      <c r="D24" s="877" t="s">
        <v>831</v>
      </c>
      <c r="E24" s="511" t="s">
        <v>832</v>
      </c>
      <c r="F24" s="874" t="s">
        <v>833</v>
      </c>
      <c r="G24" s="615"/>
      <c r="H24" s="621"/>
      <c r="I24" s="615"/>
      <c r="J24" s="621"/>
      <c r="K24" s="872"/>
      <c r="L24" s="655"/>
      <c r="W24" s="610"/>
      <c r="X24" s="691">
        <v>0</v>
      </c>
    </row>
    <row r="25" spans="1:24" s="2513" customFormat="1" ht="22.5" customHeight="1">
      <c r="A25" s="2871"/>
      <c r="C25" s="880"/>
      <c r="D25" s="877" t="s">
        <v>834</v>
      </c>
      <c r="E25" s="511" t="s">
        <v>835</v>
      </c>
      <c r="F25" s="874" t="s">
        <v>308</v>
      </c>
      <c r="G25" s="874" t="s">
        <v>308</v>
      </c>
      <c r="H25" s="873" t="s">
        <v>308</v>
      </c>
      <c r="I25" s="874" t="s">
        <v>308</v>
      </c>
      <c r="J25" s="873" t="s">
        <v>308</v>
      </c>
      <c r="K25" s="872"/>
      <c r="L25" s="655"/>
      <c r="W25" s="610"/>
      <c r="X25" s="691">
        <v>0</v>
      </c>
    </row>
    <row r="26" spans="1:24" s="2513" customFormat="1" ht="18.75" customHeight="1">
      <c r="A26" s="2871"/>
      <c r="C26" s="880"/>
      <c r="D26" s="877" t="s">
        <v>836</v>
      </c>
      <c r="E26" s="488" t="s">
        <v>837</v>
      </c>
      <c r="F26" s="874" t="s">
        <v>838</v>
      </c>
      <c r="G26" s="615"/>
      <c r="H26" s="621"/>
      <c r="I26" s="615"/>
      <c r="J26" s="621"/>
      <c r="K26" s="872"/>
      <c r="L26" s="655"/>
      <c r="W26" s="610"/>
      <c r="X26" s="691">
        <v>0</v>
      </c>
    </row>
    <row r="27" spans="1:24" s="2513" customFormat="1" ht="18.75" customHeight="1">
      <c r="A27" s="2871"/>
      <c r="C27" s="880"/>
      <c r="D27" s="877" t="s">
        <v>839</v>
      </c>
      <c r="E27" s="488" t="s">
        <v>840</v>
      </c>
      <c r="F27" s="874" t="s">
        <v>841</v>
      </c>
      <c r="G27" s="615"/>
      <c r="H27" s="621"/>
      <c r="I27" s="615"/>
      <c r="J27" s="621"/>
      <c r="K27" s="872"/>
      <c r="L27" s="655"/>
      <c r="W27" s="610"/>
      <c r="X27" s="691">
        <v>0</v>
      </c>
    </row>
    <row r="28" spans="1:24" s="2513" customFormat="1" ht="18.75" customHeight="1">
      <c r="A28" s="2871"/>
      <c r="C28" s="880"/>
      <c r="D28" s="877" t="s">
        <v>842</v>
      </c>
      <c r="E28" s="511" t="s">
        <v>843</v>
      </c>
      <c r="F28" s="874" t="s">
        <v>308</v>
      </c>
      <c r="G28" s="874" t="s">
        <v>308</v>
      </c>
      <c r="H28" s="873" t="s">
        <v>308</v>
      </c>
      <c r="I28" s="874" t="s">
        <v>308</v>
      </c>
      <c r="J28" s="873" t="s">
        <v>308</v>
      </c>
      <c r="K28" s="872"/>
      <c r="L28" s="655"/>
      <c r="W28" s="610"/>
      <c r="X28" s="691">
        <v>0</v>
      </c>
    </row>
    <row r="29" spans="1:24" s="2513" customFormat="1" ht="18.75" customHeight="1">
      <c r="A29" s="2871"/>
      <c r="C29" s="880"/>
      <c r="D29" s="877" t="s">
        <v>844</v>
      </c>
      <c r="E29" s="488" t="s">
        <v>837</v>
      </c>
      <c r="F29" s="874" t="s">
        <v>845</v>
      </c>
      <c r="G29" s="615"/>
      <c r="H29" s="621"/>
      <c r="I29" s="615"/>
      <c r="J29" s="621"/>
      <c r="K29" s="872"/>
      <c r="L29" s="655"/>
      <c r="W29" s="610"/>
      <c r="X29" s="691">
        <v>0</v>
      </c>
    </row>
    <row r="30" spans="1:24" s="2513" customFormat="1" ht="18.75" customHeight="1">
      <c r="A30" s="2871"/>
      <c r="C30" s="880"/>
      <c r="D30" s="877" t="s">
        <v>846</v>
      </c>
      <c r="E30" s="488" t="s">
        <v>847</v>
      </c>
      <c r="F30" s="874" t="s">
        <v>848</v>
      </c>
      <c r="G30" s="615"/>
      <c r="H30" s="621"/>
      <c r="I30" s="615"/>
      <c r="J30" s="621"/>
      <c r="K30" s="872"/>
      <c r="L30" s="655"/>
      <c r="W30" s="610"/>
      <c r="X30" s="691">
        <v>0</v>
      </c>
    </row>
    <row r="31" spans="1:24" ht="126.75" customHeight="1">
      <c r="A31" s="2871"/>
      <c r="D31" s="877" t="s">
        <v>110</v>
      </c>
      <c r="E31" s="215" t="s">
        <v>849</v>
      </c>
      <c r="F31" s="595" t="s">
        <v>560</v>
      </c>
      <c r="G31" s="492"/>
      <c r="H31" s="597"/>
      <c r="I31" s="492"/>
      <c r="J31" s="597"/>
      <c r="K31" s="225" t="s">
        <v>850</v>
      </c>
      <c r="L31" s="655"/>
      <c r="X31" s="440">
        <v>0</v>
      </c>
    </row>
    <row r="32" spans="1:24" ht="56.25" customHeight="1">
      <c r="A32" s="2871"/>
      <c r="D32" s="877" t="s">
        <v>91</v>
      </c>
      <c r="E32" s="215" t="s">
        <v>851</v>
      </c>
      <c r="F32" s="474" t="s">
        <v>821</v>
      </c>
      <c r="G32" s="492"/>
      <c r="H32" s="597"/>
      <c r="I32" s="492"/>
      <c r="J32" s="597"/>
      <c r="K32" s="225" t="s">
        <v>852</v>
      </c>
      <c r="L32" s="655"/>
      <c r="X32" s="440">
        <v>0</v>
      </c>
    </row>
    <row r="33" spans="1:24" ht="11.25" customHeight="1">
      <c r="A33" s="2871"/>
      <c r="E33" s="599"/>
      <c r="F33" s="117"/>
      <c r="G33" s="117"/>
      <c r="H33" s="117"/>
      <c r="I33" s="117"/>
      <c r="J33" s="117"/>
      <c r="K33" s="117"/>
      <c r="X33" s="440">
        <v>0</v>
      </c>
    </row>
    <row r="34" spans="1:24" ht="12.75" customHeight="1">
      <c r="A34" s="2871"/>
      <c r="D34" s="4">
        <v>1</v>
      </c>
      <c r="E34" s="271" t="s">
        <v>853</v>
      </c>
      <c r="X34" s="440">
        <v>0</v>
      </c>
    </row>
    <row r="35" spans="1:24" ht="11.25" customHeight="1">
      <c r="A35" s="2871"/>
      <c r="D35" s="304"/>
      <c r="E35" s="271" t="s">
        <v>854</v>
      </c>
      <c r="X35" s="440">
        <v>0</v>
      </c>
    </row>
    <row r="36" spans="1:24" s="2513" customFormat="1" ht="11.45" customHeight="1">
      <c r="A36" s="955"/>
      <c r="B36" s="453"/>
      <c r="D36" s="956"/>
      <c r="E36" s="957"/>
      <c r="X36" s="444">
        <v>11</v>
      </c>
    </row>
    <row r="37" spans="1:24" s="2513" customFormat="1" ht="22.5" hidden="1" customHeight="1">
      <c r="A37" s="2871" t="s">
        <v>855</v>
      </c>
      <c r="B37" s="446"/>
      <c r="D37" s="877">
        <v>1</v>
      </c>
      <c r="E37" s="642" t="s">
        <v>856</v>
      </c>
      <c r="F37" s="595" t="s">
        <v>811</v>
      </c>
      <c r="G37" s="492"/>
      <c r="H37" s="454"/>
      <c r="I37" s="492"/>
      <c r="J37" s="454"/>
      <c r="K37" s="225" t="s">
        <v>857</v>
      </c>
      <c r="X37" s="691">
        <v>0</v>
      </c>
    </row>
    <row r="38" spans="1:24" s="2513" customFormat="1" ht="22.5" hidden="1" customHeight="1">
      <c r="A38" s="2871"/>
      <c r="B38" s="446"/>
      <c r="D38" s="604" t="s">
        <v>109</v>
      </c>
      <c r="E38" s="954" t="s">
        <v>858</v>
      </c>
      <c r="F38" s="958" t="s">
        <v>548</v>
      </c>
      <c r="G38" s="958" t="s">
        <v>548</v>
      </c>
      <c r="H38" s="952"/>
      <c r="I38" s="958" t="s">
        <v>548</v>
      </c>
      <c r="J38" s="952"/>
      <c r="K38" s="953"/>
      <c r="X38" s="691">
        <v>0</v>
      </c>
    </row>
    <row r="39" spans="1:24" s="2513" customFormat="1" ht="33.75" hidden="1" customHeight="1">
      <c r="A39" s="2871"/>
      <c r="B39" s="446"/>
      <c r="D39" s="600" t="s">
        <v>713</v>
      </c>
      <c r="E39" s="658" t="s">
        <v>859</v>
      </c>
      <c r="F39" s="595" t="s">
        <v>860</v>
      </c>
      <c r="G39" s="603"/>
      <c r="H39" s="945"/>
      <c r="I39" s="603"/>
      <c r="J39" s="945"/>
      <c r="K39" s="225" t="s">
        <v>861</v>
      </c>
      <c r="X39" s="691">
        <v>0</v>
      </c>
    </row>
    <row r="40" spans="1:24" s="2513" customFormat="1" ht="33.75" hidden="1" customHeight="1">
      <c r="A40" s="2871"/>
      <c r="B40" s="446"/>
      <c r="D40" s="600" t="s">
        <v>716</v>
      </c>
      <c r="E40" s="658" t="s">
        <v>862</v>
      </c>
      <c r="F40" s="949" t="s">
        <v>863</v>
      </c>
      <c r="G40" s="676"/>
      <c r="H40" s="945"/>
      <c r="I40" s="676"/>
      <c r="J40" s="945"/>
      <c r="K40" s="225" t="s">
        <v>864</v>
      </c>
      <c r="X40" s="691">
        <v>0</v>
      </c>
    </row>
    <row r="41" spans="1:24" s="2513" customFormat="1" ht="22.5" hidden="1" customHeight="1">
      <c r="A41" s="2871"/>
      <c r="B41" s="446"/>
      <c r="D41" s="600" t="s">
        <v>89</v>
      </c>
      <c r="E41" s="657" t="s">
        <v>865</v>
      </c>
      <c r="F41" s="595" t="s">
        <v>548</v>
      </c>
      <c r="G41" s="595" t="s">
        <v>548</v>
      </c>
      <c r="H41" s="946"/>
      <c r="I41" s="595" t="s">
        <v>548</v>
      </c>
      <c r="J41" s="946"/>
      <c r="K41" s="238"/>
      <c r="X41" s="691">
        <v>0</v>
      </c>
    </row>
    <row r="42" spans="1:24" s="2513" customFormat="1" ht="45" hidden="1" customHeight="1">
      <c r="A42" s="2871"/>
      <c r="B42" s="446"/>
      <c r="D42" s="600" t="s">
        <v>326</v>
      </c>
      <c r="E42" s="658" t="s">
        <v>866</v>
      </c>
      <c r="F42" s="595" t="s">
        <v>560</v>
      </c>
      <c r="G42" s="492"/>
      <c r="H42" s="946"/>
      <c r="I42" s="492"/>
      <c r="J42" s="946"/>
      <c r="K42" s="238" t="s">
        <v>867</v>
      </c>
      <c r="X42" s="691">
        <v>0</v>
      </c>
    </row>
    <row r="43" spans="1:24" s="2513" customFormat="1" ht="45" hidden="1" customHeight="1">
      <c r="A43" s="2871"/>
      <c r="B43" s="446"/>
      <c r="D43" s="600" t="s">
        <v>334</v>
      </c>
      <c r="E43" s="602" t="s">
        <v>868</v>
      </c>
      <c r="F43" s="950" t="s">
        <v>560</v>
      </c>
      <c r="G43" s="677"/>
      <c r="H43" s="945"/>
      <c r="I43" s="677"/>
      <c r="J43" s="945"/>
      <c r="K43" s="238" t="s">
        <v>869</v>
      </c>
      <c r="X43" s="691">
        <v>0</v>
      </c>
    </row>
    <row r="44" spans="1:24" s="2513" customFormat="1" ht="11.25" hidden="1" customHeight="1">
      <c r="A44" s="2871"/>
      <c r="B44" s="446"/>
      <c r="D44" s="600" t="s">
        <v>90</v>
      </c>
      <c r="E44" s="601" t="s">
        <v>870</v>
      </c>
      <c r="F44" s="595" t="s">
        <v>860</v>
      </c>
      <c r="G44" s="603"/>
      <c r="H44" s="945"/>
      <c r="I44" s="603"/>
      <c r="J44" s="945"/>
      <c r="K44" s="225"/>
      <c r="X44" s="691">
        <v>0</v>
      </c>
    </row>
    <row r="45" spans="1:24" s="2513" customFormat="1" ht="11.25" hidden="1" customHeight="1">
      <c r="A45" s="2871"/>
      <c r="B45" s="446"/>
      <c r="D45" s="600" t="s">
        <v>755</v>
      </c>
      <c r="E45" s="602" t="s">
        <v>871</v>
      </c>
      <c r="F45" s="595" t="s">
        <v>860</v>
      </c>
      <c r="G45" s="603"/>
      <c r="H45" s="945"/>
      <c r="I45" s="603"/>
      <c r="J45" s="945"/>
      <c r="K45" s="225"/>
      <c r="X45" s="691">
        <v>0</v>
      </c>
    </row>
    <row r="46" spans="1:24" s="2513" customFormat="1" ht="11.25" hidden="1" customHeight="1">
      <c r="A46" s="2871"/>
      <c r="B46" s="446"/>
      <c r="D46" s="600" t="s">
        <v>797</v>
      </c>
      <c r="E46" s="602" t="s">
        <v>872</v>
      </c>
      <c r="F46" s="595" t="s">
        <v>860</v>
      </c>
      <c r="G46" s="603"/>
      <c r="H46" s="945"/>
      <c r="I46" s="603"/>
      <c r="J46" s="945"/>
      <c r="K46" s="225"/>
      <c r="X46" s="691">
        <v>0</v>
      </c>
    </row>
    <row r="47" spans="1:24" s="2513" customFormat="1" ht="11.25" hidden="1" customHeight="1">
      <c r="A47" s="2871"/>
      <c r="B47" s="446"/>
      <c r="D47" s="600" t="s">
        <v>800</v>
      </c>
      <c r="E47" s="602" t="s">
        <v>873</v>
      </c>
      <c r="F47" s="595" t="s">
        <v>860</v>
      </c>
      <c r="G47" s="603"/>
      <c r="H47" s="945"/>
      <c r="I47" s="603"/>
      <c r="J47" s="945"/>
      <c r="K47" s="225"/>
      <c r="X47" s="691">
        <v>0</v>
      </c>
    </row>
    <row r="48" spans="1:24" s="2513" customFormat="1" ht="11.25" hidden="1" customHeight="1">
      <c r="A48" s="2871"/>
      <c r="B48" s="446"/>
      <c r="D48" s="600" t="s">
        <v>874</v>
      </c>
      <c r="E48" s="606" t="s">
        <v>875</v>
      </c>
      <c r="F48" s="595" t="s">
        <v>860</v>
      </c>
      <c r="G48" s="603"/>
      <c r="H48" s="945"/>
      <c r="I48" s="603"/>
      <c r="J48" s="945"/>
      <c r="K48" s="225"/>
      <c r="X48" s="691">
        <v>0</v>
      </c>
    </row>
    <row r="49" spans="1:24" s="2513" customFormat="1" ht="11.25" hidden="1" customHeight="1">
      <c r="A49" s="2871"/>
      <c r="B49" s="446"/>
      <c r="D49" s="600" t="s">
        <v>876</v>
      </c>
      <c r="E49" s="606" t="s">
        <v>877</v>
      </c>
      <c r="F49" s="595" t="s">
        <v>860</v>
      </c>
      <c r="G49" s="603"/>
      <c r="H49" s="945"/>
      <c r="I49" s="603"/>
      <c r="J49" s="945"/>
      <c r="K49" s="225"/>
      <c r="X49" s="691">
        <v>0</v>
      </c>
    </row>
    <row r="50" spans="1:24" s="2513" customFormat="1" ht="11.25" hidden="1" customHeight="1">
      <c r="A50" s="2871"/>
      <c r="B50" s="446"/>
      <c r="D50" s="600" t="s">
        <v>878</v>
      </c>
      <c r="E50" s="602" t="s">
        <v>879</v>
      </c>
      <c r="F50" s="595" t="s">
        <v>860</v>
      </c>
      <c r="G50" s="603"/>
      <c r="H50" s="945"/>
      <c r="I50" s="603"/>
      <c r="J50" s="945"/>
      <c r="K50" s="225"/>
      <c r="X50" s="691">
        <v>0</v>
      </c>
    </row>
    <row r="51" spans="1:24" s="2513" customFormat="1" ht="11.25" hidden="1" customHeight="1">
      <c r="A51" s="2871"/>
      <c r="B51" s="446"/>
      <c r="D51" s="600" t="s">
        <v>880</v>
      </c>
      <c r="E51" s="602" t="s">
        <v>881</v>
      </c>
      <c r="F51" s="595" t="s">
        <v>860</v>
      </c>
      <c r="G51" s="603"/>
      <c r="H51" s="945"/>
      <c r="I51" s="603"/>
      <c r="J51" s="945"/>
      <c r="K51" s="225"/>
      <c r="X51" s="691">
        <v>0</v>
      </c>
    </row>
    <row r="52" spans="1:24" s="2513" customFormat="1" ht="45" hidden="1" customHeight="1">
      <c r="A52" s="2871"/>
      <c r="B52" s="446"/>
      <c r="D52" s="600" t="s">
        <v>110</v>
      </c>
      <c r="E52" s="601" t="s">
        <v>882</v>
      </c>
      <c r="F52" s="595" t="s">
        <v>860</v>
      </c>
      <c r="G52" s="603"/>
      <c r="H52" s="945"/>
      <c r="I52" s="603"/>
      <c r="J52" s="945"/>
      <c r="K52" s="225"/>
      <c r="X52" s="691">
        <v>0</v>
      </c>
    </row>
    <row r="53" spans="1:24" s="2513" customFormat="1" ht="11.25" hidden="1" customHeight="1">
      <c r="A53" s="2871"/>
      <c r="B53" s="446"/>
      <c r="D53" s="600" t="s">
        <v>315</v>
      </c>
      <c r="E53" s="602" t="s">
        <v>871</v>
      </c>
      <c r="F53" s="595" t="s">
        <v>860</v>
      </c>
      <c r="G53" s="603"/>
      <c r="H53" s="945"/>
      <c r="I53" s="603"/>
      <c r="J53" s="945"/>
      <c r="K53" s="225"/>
      <c r="X53" s="691">
        <v>0</v>
      </c>
    </row>
    <row r="54" spans="1:24" s="2513" customFormat="1" ht="11.25" hidden="1" customHeight="1">
      <c r="A54" s="2871"/>
      <c r="B54" s="446"/>
      <c r="D54" s="600" t="s">
        <v>883</v>
      </c>
      <c r="E54" s="602" t="s">
        <v>872</v>
      </c>
      <c r="F54" s="595" t="s">
        <v>860</v>
      </c>
      <c r="G54" s="603"/>
      <c r="H54" s="945"/>
      <c r="I54" s="603"/>
      <c r="J54" s="945"/>
      <c r="K54" s="225"/>
      <c r="X54" s="691">
        <v>0</v>
      </c>
    </row>
    <row r="55" spans="1:24" s="2513" customFormat="1" ht="11.25" hidden="1" customHeight="1">
      <c r="A55" s="2871"/>
      <c r="B55" s="446"/>
      <c r="D55" s="600" t="s">
        <v>884</v>
      </c>
      <c r="E55" s="602" t="s">
        <v>873</v>
      </c>
      <c r="F55" s="595" t="s">
        <v>860</v>
      </c>
      <c r="G55" s="603"/>
      <c r="H55" s="945"/>
      <c r="I55" s="603"/>
      <c r="J55" s="945"/>
      <c r="K55" s="225"/>
      <c r="X55" s="691">
        <v>0</v>
      </c>
    </row>
    <row r="56" spans="1:24" s="2513" customFormat="1" ht="11.25" hidden="1" customHeight="1">
      <c r="A56" s="2871"/>
      <c r="B56" s="446"/>
      <c r="D56" s="600" t="s">
        <v>885</v>
      </c>
      <c r="E56" s="606" t="s">
        <v>875</v>
      </c>
      <c r="F56" s="595" t="s">
        <v>860</v>
      </c>
      <c r="G56" s="603"/>
      <c r="H56" s="945"/>
      <c r="I56" s="603"/>
      <c r="J56" s="945"/>
      <c r="K56" s="225"/>
      <c r="X56" s="691">
        <v>0</v>
      </c>
    </row>
    <row r="57" spans="1:24" s="2513" customFormat="1" ht="11.25" hidden="1" customHeight="1">
      <c r="A57" s="2871"/>
      <c r="B57" s="446"/>
      <c r="D57" s="600" t="s">
        <v>886</v>
      </c>
      <c r="E57" s="606" t="s">
        <v>877</v>
      </c>
      <c r="F57" s="595" t="s">
        <v>860</v>
      </c>
      <c r="G57" s="603"/>
      <c r="H57" s="945"/>
      <c r="I57" s="603"/>
      <c r="J57" s="945"/>
      <c r="K57" s="225"/>
      <c r="X57" s="691">
        <v>0</v>
      </c>
    </row>
    <row r="58" spans="1:24" s="2513" customFormat="1" ht="11.25" hidden="1" customHeight="1">
      <c r="A58" s="2871"/>
      <c r="B58" s="446"/>
      <c r="D58" s="600" t="s">
        <v>887</v>
      </c>
      <c r="E58" s="602" t="s">
        <v>879</v>
      </c>
      <c r="F58" s="595" t="s">
        <v>860</v>
      </c>
      <c r="G58" s="603"/>
      <c r="H58" s="945"/>
      <c r="I58" s="603"/>
      <c r="J58" s="945"/>
      <c r="K58" s="225"/>
      <c r="X58" s="691">
        <v>0</v>
      </c>
    </row>
    <row r="59" spans="1:24" s="2513" customFormat="1" ht="11.25" hidden="1" customHeight="1">
      <c r="A59" s="2871"/>
      <c r="B59" s="446"/>
      <c r="D59" s="600" t="s">
        <v>888</v>
      </c>
      <c r="E59" s="602" t="s">
        <v>881</v>
      </c>
      <c r="F59" s="595" t="s">
        <v>860</v>
      </c>
      <c r="G59" s="603"/>
      <c r="H59" s="945"/>
      <c r="I59" s="603"/>
      <c r="J59" s="945"/>
      <c r="K59" s="225"/>
      <c r="X59" s="691">
        <v>0</v>
      </c>
    </row>
    <row r="60" spans="1:24" s="2513" customFormat="1" ht="33.75" hidden="1" customHeight="1">
      <c r="A60" s="2871"/>
      <c r="B60" s="446"/>
      <c r="D60" s="600" t="s">
        <v>91</v>
      </c>
      <c r="E60" s="601" t="s">
        <v>889</v>
      </c>
      <c r="F60" s="656" t="s">
        <v>560</v>
      </c>
      <c r="G60" s="677"/>
      <c r="H60" s="945"/>
      <c r="I60" s="677"/>
      <c r="J60" s="945"/>
      <c r="K60" s="238" t="s">
        <v>890</v>
      </c>
      <c r="X60" s="691">
        <v>0</v>
      </c>
    </row>
    <row r="61" spans="1:24" s="2513" customFormat="1" ht="33.75" hidden="1" customHeight="1">
      <c r="A61" s="2871"/>
      <c r="B61" s="446"/>
      <c r="D61" s="600" t="s">
        <v>92</v>
      </c>
      <c r="E61" s="601" t="s">
        <v>891</v>
      </c>
      <c r="F61" s="661" t="s">
        <v>821</v>
      </c>
      <c r="G61" s="603"/>
      <c r="H61" s="945"/>
      <c r="I61" s="603"/>
      <c r="J61" s="945"/>
      <c r="K61" s="225"/>
      <c r="X61" s="691">
        <v>0</v>
      </c>
    </row>
    <row r="62" spans="1:24" s="2513" customFormat="1" ht="22.5" hidden="1" customHeight="1">
      <c r="A62" s="2871"/>
      <c r="B62" s="446" t="s">
        <v>590</v>
      </c>
      <c r="D62" s="600" t="s">
        <v>111</v>
      </c>
      <c r="E62" s="601" t="s">
        <v>892</v>
      </c>
      <c r="F62" s="661" t="s">
        <v>308</v>
      </c>
      <c r="G62" s="317"/>
      <c r="H62" s="945"/>
      <c r="I62" s="317"/>
      <c r="J62" s="945"/>
      <c r="K62" s="225" t="s">
        <v>633</v>
      </c>
      <c r="X62" s="691">
        <v>0</v>
      </c>
    </row>
    <row r="63" spans="1:24" s="2513" customFormat="1" ht="45" hidden="1" customHeight="1">
      <c r="A63" s="2871"/>
      <c r="B63" s="446" t="s">
        <v>590</v>
      </c>
      <c r="D63" s="600" t="s">
        <v>893</v>
      </c>
      <c r="E63" s="602" t="s">
        <v>894</v>
      </c>
      <c r="F63" s="656" t="s">
        <v>308</v>
      </c>
      <c r="G63" s="317"/>
      <c r="H63" s="945"/>
      <c r="I63" s="317"/>
      <c r="J63" s="945"/>
      <c r="K63" s="225" t="s">
        <v>633</v>
      </c>
      <c r="X63" s="691">
        <v>0</v>
      </c>
    </row>
    <row r="64" spans="1:24" s="2513" customFormat="1" ht="11.45" customHeight="1">
      <c r="A64" s="955"/>
      <c r="B64" s="453"/>
      <c r="D64" s="956"/>
      <c r="E64" s="957"/>
      <c r="X64" s="444">
        <v>11</v>
      </c>
    </row>
    <row r="65" spans="1:24" s="2513" customFormat="1" ht="22.5" hidden="1" customHeight="1">
      <c r="A65" s="2871" t="s">
        <v>895</v>
      </c>
      <c r="B65" s="446"/>
      <c r="D65" s="600">
        <v>1</v>
      </c>
      <c r="E65" s="679" t="s">
        <v>896</v>
      </c>
      <c r="F65" s="675" t="s">
        <v>811</v>
      </c>
      <c r="G65" s="676"/>
      <c r="H65" s="951"/>
      <c r="I65" s="676"/>
      <c r="J65" s="951"/>
      <c r="K65" s="237" t="s">
        <v>897</v>
      </c>
      <c r="X65" s="691">
        <v>0</v>
      </c>
    </row>
    <row r="66" spans="1:24" s="2513" customFormat="1" ht="56.25" hidden="1" customHeight="1">
      <c r="A66" s="2871"/>
      <c r="B66" s="446"/>
      <c r="D66" s="678" t="s">
        <v>109</v>
      </c>
      <c r="E66" s="642" t="s">
        <v>898</v>
      </c>
      <c r="F66" s="595" t="s">
        <v>548</v>
      </c>
      <c r="G66" s="595" t="s">
        <v>548</v>
      </c>
      <c r="H66" s="454"/>
      <c r="I66" s="595" t="s">
        <v>548</v>
      </c>
      <c r="J66" s="454"/>
      <c r="K66" s="225"/>
      <c r="X66" s="691">
        <v>0</v>
      </c>
    </row>
    <row r="67" spans="1:24" s="2513" customFormat="1" ht="33.75" hidden="1" customHeight="1">
      <c r="A67" s="2871"/>
      <c r="B67" s="446"/>
      <c r="D67" s="678" t="s">
        <v>710</v>
      </c>
      <c r="E67" s="878" t="s">
        <v>899</v>
      </c>
      <c r="F67" s="595" t="s">
        <v>863</v>
      </c>
      <c r="G67" s="662"/>
      <c r="H67" s="454"/>
      <c r="I67" s="662"/>
      <c r="J67" s="454"/>
      <c r="K67" s="225"/>
      <c r="X67" s="691">
        <v>0</v>
      </c>
    </row>
    <row r="68" spans="1:24" s="2513" customFormat="1" ht="22.5" hidden="1" customHeight="1">
      <c r="A68" s="2871"/>
      <c r="B68" s="446"/>
      <c r="D68" s="678" t="s">
        <v>309</v>
      </c>
      <c r="E68" s="878" t="s">
        <v>900</v>
      </c>
      <c r="F68" s="595" t="s">
        <v>863</v>
      </c>
      <c r="G68" s="662"/>
      <c r="H68" s="454"/>
      <c r="I68" s="662"/>
      <c r="J68" s="454"/>
      <c r="K68" s="225"/>
      <c r="X68" s="691">
        <v>0</v>
      </c>
    </row>
    <row r="69" spans="1:24" s="2513" customFormat="1" ht="22.5" hidden="1" customHeight="1">
      <c r="A69" s="2871"/>
      <c r="B69" s="446"/>
      <c r="D69" s="678" t="s">
        <v>312</v>
      </c>
      <c r="E69" s="878" t="s">
        <v>901</v>
      </c>
      <c r="F69" s="656" t="s">
        <v>560</v>
      </c>
      <c r="G69" s="677"/>
      <c r="H69" s="454"/>
      <c r="I69" s="677"/>
      <c r="J69" s="454"/>
      <c r="K69" s="225"/>
      <c r="X69" s="691">
        <v>0</v>
      </c>
    </row>
    <row r="70" spans="1:24" s="2513" customFormat="1" ht="22.5" hidden="1" customHeight="1">
      <c r="A70" s="2871"/>
      <c r="B70" s="446"/>
      <c r="D70" s="678" t="s">
        <v>730</v>
      </c>
      <c r="E70" s="878" t="s">
        <v>902</v>
      </c>
      <c r="F70" s="656" t="s">
        <v>560</v>
      </c>
      <c r="G70" s="677"/>
      <c r="H70" s="454"/>
      <c r="I70" s="677"/>
      <c r="J70" s="454"/>
      <c r="K70" s="225"/>
      <c r="X70" s="691">
        <v>0</v>
      </c>
    </row>
    <row r="71" spans="1:24" s="2513" customFormat="1" ht="22.5" hidden="1" customHeight="1">
      <c r="A71" s="2871"/>
      <c r="B71" s="446"/>
      <c r="D71" s="600" t="s">
        <v>89</v>
      </c>
      <c r="E71" s="601" t="s">
        <v>903</v>
      </c>
      <c r="F71" s="595" t="s">
        <v>863</v>
      </c>
      <c r="G71" s="492"/>
      <c r="H71" s="952"/>
      <c r="I71" s="492"/>
      <c r="J71" s="952"/>
      <c r="K71" s="238"/>
      <c r="X71" s="691">
        <v>0</v>
      </c>
    </row>
    <row r="72" spans="1:24" s="2513" customFormat="1" ht="56.25" hidden="1" customHeight="1">
      <c r="A72" s="2871"/>
      <c r="B72" s="446"/>
      <c r="D72" s="600" t="s">
        <v>90</v>
      </c>
      <c r="E72" s="601" t="s">
        <v>904</v>
      </c>
      <c r="F72" s="656" t="s">
        <v>560</v>
      </c>
      <c r="G72" s="677"/>
      <c r="H72" s="945"/>
      <c r="I72" s="677"/>
      <c r="J72" s="945"/>
      <c r="K72" s="238"/>
      <c r="X72" s="691">
        <v>0</v>
      </c>
    </row>
    <row r="73" spans="1:24" s="2513" customFormat="1" ht="33.75" hidden="1" customHeight="1">
      <c r="A73" s="2871"/>
      <c r="B73" s="446"/>
      <c r="D73" s="600" t="s">
        <v>110</v>
      </c>
      <c r="E73" s="601" t="s">
        <v>905</v>
      </c>
      <c r="F73" s="661" t="s">
        <v>821</v>
      </c>
      <c r="G73" s="603"/>
      <c r="H73" s="945"/>
      <c r="I73" s="603"/>
      <c r="J73" s="945"/>
      <c r="K73" s="225"/>
      <c r="X73" s="691">
        <v>0</v>
      </c>
    </row>
    <row r="74" spans="1:24" s="2513" customFormat="1" ht="22.5" hidden="1" customHeight="1">
      <c r="A74" s="2871"/>
      <c r="B74" s="446" t="s">
        <v>590</v>
      </c>
      <c r="D74" s="600" t="s">
        <v>91</v>
      </c>
      <c r="E74" s="601" t="s">
        <v>906</v>
      </c>
      <c r="F74" s="661" t="s">
        <v>308</v>
      </c>
      <c r="G74" s="317"/>
      <c r="H74" s="945"/>
      <c r="I74" s="317"/>
      <c r="J74" s="945"/>
      <c r="K74" s="225" t="s">
        <v>633</v>
      </c>
      <c r="X74" s="691">
        <v>0</v>
      </c>
    </row>
    <row r="75" spans="1:24" s="2513" customFormat="1" ht="45" hidden="1" customHeight="1">
      <c r="A75" s="2871"/>
      <c r="B75" s="446" t="s">
        <v>590</v>
      </c>
      <c r="D75" s="600" t="s">
        <v>654</v>
      </c>
      <c r="E75" s="602" t="s">
        <v>907</v>
      </c>
      <c r="F75" s="656" t="s">
        <v>308</v>
      </c>
      <c r="G75" s="317"/>
      <c r="H75" s="945"/>
      <c r="I75" s="317"/>
      <c r="J75" s="945"/>
      <c r="K75" s="225" t="s">
        <v>633</v>
      </c>
      <c r="X75" s="691">
        <v>0</v>
      </c>
    </row>
    <row r="76" spans="1:24" s="2513" customFormat="1" ht="11.45" customHeight="1">
      <c r="A76" s="955"/>
      <c r="B76" s="453"/>
      <c r="D76" s="956"/>
      <c r="E76" s="957"/>
      <c r="X76" s="444">
        <v>11</v>
      </c>
    </row>
    <row r="77" spans="1:24" s="2513" customFormat="1" ht="11.25" hidden="1" customHeight="1">
      <c r="A77" s="2871" t="s">
        <v>908</v>
      </c>
      <c r="B77" s="446"/>
      <c r="D77" s="600">
        <v>1</v>
      </c>
      <c r="E77" s="601" t="s">
        <v>909</v>
      </c>
      <c r="F77" s="656" t="s">
        <v>811</v>
      </c>
      <c r="G77" s="659"/>
      <c r="H77" s="945"/>
      <c r="I77" s="659"/>
      <c r="J77" s="945"/>
      <c r="K77" s="225" t="s">
        <v>910</v>
      </c>
      <c r="X77" s="691">
        <v>0</v>
      </c>
    </row>
    <row r="78" spans="1:24" s="2513" customFormat="1" ht="11.25" hidden="1" customHeight="1">
      <c r="A78" s="2871"/>
      <c r="B78" s="446"/>
      <c r="D78" s="600" t="s">
        <v>109</v>
      </c>
      <c r="E78" s="601" t="s">
        <v>911</v>
      </c>
      <c r="F78" s="656" t="s">
        <v>811</v>
      </c>
      <c r="G78" s="659"/>
      <c r="H78" s="945"/>
      <c r="I78" s="659"/>
      <c r="J78" s="945"/>
      <c r="K78" s="225" t="s">
        <v>912</v>
      </c>
      <c r="X78" s="691">
        <v>0</v>
      </c>
    </row>
    <row r="79" spans="1:24" s="2513" customFormat="1" ht="22.5" hidden="1" customHeight="1">
      <c r="A79" s="2871"/>
      <c r="B79" s="446"/>
      <c r="D79" s="600" t="s">
        <v>89</v>
      </c>
      <c r="E79" s="657" t="s">
        <v>913</v>
      </c>
      <c r="F79" s="595" t="s">
        <v>860</v>
      </c>
      <c r="G79" s="659"/>
      <c r="H79" s="945"/>
      <c r="I79" s="659"/>
      <c r="J79" s="945"/>
      <c r="K79" s="225" t="s">
        <v>914</v>
      </c>
      <c r="X79" s="691">
        <v>0</v>
      </c>
    </row>
    <row r="80" spans="1:24" s="2513" customFormat="1" ht="11.25" hidden="1" customHeight="1">
      <c r="A80" s="2871"/>
      <c r="B80" s="446"/>
      <c r="D80" s="600" t="s">
        <v>326</v>
      </c>
      <c r="E80" s="658" t="s">
        <v>915</v>
      </c>
      <c r="F80" s="595" t="s">
        <v>860</v>
      </c>
      <c r="G80" s="659"/>
      <c r="H80" s="945"/>
      <c r="I80" s="659"/>
      <c r="J80" s="945"/>
      <c r="K80" s="225"/>
      <c r="X80" s="691">
        <v>0</v>
      </c>
    </row>
    <row r="81" spans="1:24" s="2513" customFormat="1" ht="11.25" hidden="1" customHeight="1">
      <c r="A81" s="2871"/>
      <c r="B81" s="446"/>
      <c r="D81" s="600" t="s">
        <v>334</v>
      </c>
      <c r="E81" s="658" t="s">
        <v>916</v>
      </c>
      <c r="F81" s="595" t="s">
        <v>860</v>
      </c>
      <c r="G81" s="659"/>
      <c r="H81" s="945"/>
      <c r="I81" s="659"/>
      <c r="J81" s="945"/>
      <c r="K81" s="225"/>
      <c r="X81" s="691">
        <v>0</v>
      </c>
    </row>
    <row r="82" spans="1:24" s="2513" customFormat="1" ht="11.25" hidden="1" customHeight="1">
      <c r="A82" s="2871"/>
      <c r="B82" s="446"/>
      <c r="D82" s="600" t="s">
        <v>336</v>
      </c>
      <c r="E82" s="658" t="s">
        <v>917</v>
      </c>
      <c r="F82" s="595" t="s">
        <v>860</v>
      </c>
      <c r="G82" s="659"/>
      <c r="H82" s="945"/>
      <c r="I82" s="659"/>
      <c r="J82" s="945"/>
      <c r="K82" s="225"/>
      <c r="X82" s="691">
        <v>0</v>
      </c>
    </row>
    <row r="83" spans="1:24" s="2513" customFormat="1" ht="11.25" hidden="1" customHeight="1">
      <c r="A83" s="2871"/>
      <c r="B83" s="446"/>
      <c r="D83" s="600" t="s">
        <v>338</v>
      </c>
      <c r="E83" s="658" t="s">
        <v>918</v>
      </c>
      <c r="F83" s="595" t="s">
        <v>860</v>
      </c>
      <c r="G83" s="659"/>
      <c r="H83" s="945"/>
      <c r="I83" s="659"/>
      <c r="J83" s="945"/>
      <c r="K83" s="225"/>
      <c r="X83" s="691">
        <v>0</v>
      </c>
    </row>
    <row r="84" spans="1:24" s="2513" customFormat="1" ht="11.25" hidden="1" customHeight="1">
      <c r="A84" s="2871"/>
      <c r="B84" s="446"/>
      <c r="D84" s="600" t="s">
        <v>919</v>
      </c>
      <c r="E84" s="658" t="s">
        <v>920</v>
      </c>
      <c r="F84" s="595" t="s">
        <v>860</v>
      </c>
      <c r="G84" s="659"/>
      <c r="H84" s="945"/>
      <c r="I84" s="659"/>
      <c r="J84" s="945"/>
      <c r="K84" s="225"/>
      <c r="X84" s="691">
        <v>0</v>
      </c>
    </row>
    <row r="85" spans="1:24" s="2513" customFormat="1" ht="11.25" hidden="1" customHeight="1">
      <c r="A85" s="2871"/>
      <c r="B85" s="446"/>
      <c r="D85" s="600" t="s">
        <v>921</v>
      </c>
      <c r="E85" s="658" t="s">
        <v>922</v>
      </c>
      <c r="F85" s="595" t="s">
        <v>860</v>
      </c>
      <c r="G85" s="659"/>
      <c r="H85" s="945"/>
      <c r="I85" s="659"/>
      <c r="J85" s="945"/>
      <c r="K85" s="225"/>
      <c r="X85" s="691">
        <v>0</v>
      </c>
    </row>
    <row r="86" spans="1:24" s="2513" customFormat="1" ht="11.25" hidden="1" customHeight="1">
      <c r="A86" s="2871"/>
      <c r="B86" s="446"/>
      <c r="D86" s="600" t="s">
        <v>923</v>
      </c>
      <c r="E86" s="658" t="s">
        <v>924</v>
      </c>
      <c r="F86" s="595" t="s">
        <v>860</v>
      </c>
      <c r="G86" s="659"/>
      <c r="H86" s="945"/>
      <c r="I86" s="659"/>
      <c r="J86" s="945"/>
      <c r="K86" s="225"/>
      <c r="X86" s="691">
        <v>0</v>
      </c>
    </row>
    <row r="87" spans="1:24" s="2513" customFormat="1" ht="45" hidden="1" customHeight="1">
      <c r="A87" s="2871"/>
      <c r="B87" s="446"/>
      <c r="D87" s="600" t="s">
        <v>90</v>
      </c>
      <c r="E87" s="601" t="s">
        <v>925</v>
      </c>
      <c r="F87" s="595" t="s">
        <v>860</v>
      </c>
      <c r="G87" s="659"/>
      <c r="H87" s="945"/>
      <c r="I87" s="659"/>
      <c r="J87" s="945"/>
      <c r="K87" s="225" t="s">
        <v>926</v>
      </c>
      <c r="X87" s="691">
        <v>0</v>
      </c>
    </row>
    <row r="88" spans="1:24" s="2513" customFormat="1" ht="11.25" hidden="1" customHeight="1">
      <c r="A88" s="2871"/>
      <c r="B88" s="446"/>
      <c r="D88" s="600" t="s">
        <v>755</v>
      </c>
      <c r="E88" s="658" t="s">
        <v>915</v>
      </c>
      <c r="F88" s="595" t="s">
        <v>860</v>
      </c>
      <c r="G88" s="659"/>
      <c r="H88" s="945"/>
      <c r="I88" s="659"/>
      <c r="J88" s="945"/>
      <c r="K88" s="225"/>
      <c r="X88" s="691">
        <v>0</v>
      </c>
    </row>
    <row r="89" spans="1:24" s="2513" customFormat="1" ht="11.25" hidden="1" customHeight="1">
      <c r="A89" s="2871"/>
      <c r="B89" s="446"/>
      <c r="D89" s="600" t="s">
        <v>797</v>
      </c>
      <c r="E89" s="658" t="s">
        <v>916</v>
      </c>
      <c r="F89" s="595" t="s">
        <v>860</v>
      </c>
      <c r="G89" s="659"/>
      <c r="H89" s="945"/>
      <c r="I89" s="659"/>
      <c r="J89" s="945"/>
      <c r="K89" s="225"/>
      <c r="X89" s="691">
        <v>0</v>
      </c>
    </row>
    <row r="90" spans="1:24" s="2513" customFormat="1" ht="11.25" hidden="1" customHeight="1">
      <c r="A90" s="2871"/>
      <c r="B90" s="446"/>
      <c r="D90" s="600" t="s">
        <v>800</v>
      </c>
      <c r="E90" s="658" t="s">
        <v>917</v>
      </c>
      <c r="F90" s="595" t="s">
        <v>860</v>
      </c>
      <c r="G90" s="659"/>
      <c r="H90" s="945"/>
      <c r="I90" s="659"/>
      <c r="J90" s="945"/>
      <c r="K90" s="225"/>
      <c r="X90" s="691">
        <v>0</v>
      </c>
    </row>
    <row r="91" spans="1:24" s="2513" customFormat="1" ht="11.25" hidden="1" customHeight="1">
      <c r="A91" s="2871"/>
      <c r="B91" s="446"/>
      <c r="D91" s="600" t="s">
        <v>878</v>
      </c>
      <c r="E91" s="658" t="s">
        <v>918</v>
      </c>
      <c r="F91" s="595" t="s">
        <v>860</v>
      </c>
      <c r="G91" s="659"/>
      <c r="H91" s="945"/>
      <c r="I91" s="659"/>
      <c r="J91" s="945"/>
      <c r="K91" s="225"/>
      <c r="X91" s="691">
        <v>0</v>
      </c>
    </row>
    <row r="92" spans="1:24" s="2513" customFormat="1" ht="11.25" hidden="1" customHeight="1">
      <c r="A92" s="2871"/>
      <c r="B92" s="446"/>
      <c r="D92" s="600" t="s">
        <v>880</v>
      </c>
      <c r="E92" s="658" t="s">
        <v>920</v>
      </c>
      <c r="F92" s="595" t="s">
        <v>860</v>
      </c>
      <c r="G92" s="659"/>
      <c r="H92" s="945"/>
      <c r="I92" s="659"/>
      <c r="J92" s="945"/>
      <c r="K92" s="225"/>
      <c r="X92" s="691">
        <v>0</v>
      </c>
    </row>
    <row r="93" spans="1:24" s="2513" customFormat="1" ht="11.25" hidden="1" customHeight="1">
      <c r="A93" s="2871"/>
      <c r="B93" s="446"/>
      <c r="D93" s="600" t="s">
        <v>927</v>
      </c>
      <c r="E93" s="658" t="s">
        <v>922</v>
      </c>
      <c r="F93" s="595" t="s">
        <v>860</v>
      </c>
      <c r="G93" s="659"/>
      <c r="H93" s="945"/>
      <c r="I93" s="659"/>
      <c r="J93" s="945"/>
      <c r="K93" s="225"/>
      <c r="X93" s="691">
        <v>0</v>
      </c>
    </row>
    <row r="94" spans="1:24" s="2513" customFormat="1" ht="11.25" hidden="1" customHeight="1">
      <c r="A94" s="2871"/>
      <c r="B94" s="446"/>
      <c r="D94" s="600" t="s">
        <v>928</v>
      </c>
      <c r="E94" s="658" t="s">
        <v>924</v>
      </c>
      <c r="F94" s="595" t="s">
        <v>860</v>
      </c>
      <c r="G94" s="659"/>
      <c r="H94" s="945"/>
      <c r="I94" s="659"/>
      <c r="J94" s="945"/>
      <c r="K94" s="225"/>
      <c r="X94" s="691">
        <v>0</v>
      </c>
    </row>
    <row r="95" spans="1:24" s="2513" customFormat="1" ht="24.75" hidden="1" customHeight="1">
      <c r="A95" s="2871"/>
      <c r="B95" s="446"/>
      <c r="D95" s="600" t="s">
        <v>110</v>
      </c>
      <c r="E95" s="601" t="s">
        <v>929</v>
      </c>
      <c r="F95" s="660" t="s">
        <v>560</v>
      </c>
      <c r="G95" s="662"/>
      <c r="H95" s="945"/>
      <c r="I95" s="662"/>
      <c r="J95" s="945"/>
      <c r="K95" s="225" t="s">
        <v>930</v>
      </c>
      <c r="X95" s="691">
        <v>0</v>
      </c>
    </row>
    <row r="96" spans="1:24" s="2513" customFormat="1" ht="33.75" hidden="1" customHeight="1">
      <c r="A96" s="2871"/>
      <c r="B96" s="446"/>
      <c r="D96" s="600" t="s">
        <v>91</v>
      </c>
      <c r="E96" s="601" t="s">
        <v>931</v>
      </c>
      <c r="F96" s="661" t="s">
        <v>821</v>
      </c>
      <c r="G96" s="663"/>
      <c r="H96" s="945"/>
      <c r="I96" s="663"/>
      <c r="J96" s="945"/>
      <c r="K96" s="225"/>
      <c r="X96" s="691">
        <v>0</v>
      </c>
    </row>
    <row r="97" spans="1:24" s="2513" customFormat="1" ht="22.5" hidden="1" customHeight="1">
      <c r="A97" s="2871"/>
      <c r="B97" s="446" t="s">
        <v>590</v>
      </c>
      <c r="D97" s="600" t="s">
        <v>92</v>
      </c>
      <c r="E97" s="601" t="s">
        <v>932</v>
      </c>
      <c r="F97" s="661" t="s">
        <v>308</v>
      </c>
      <c r="G97" s="320"/>
      <c r="H97" s="945"/>
      <c r="I97" s="320"/>
      <c r="J97" s="945"/>
      <c r="K97" s="225" t="s">
        <v>633</v>
      </c>
      <c r="X97" s="691">
        <v>0</v>
      </c>
    </row>
    <row r="98" spans="1:24" s="2513" customFormat="1" ht="45" hidden="1" customHeight="1">
      <c r="A98" s="2871"/>
      <c r="B98" s="446" t="s">
        <v>590</v>
      </c>
      <c r="D98" s="600" t="s">
        <v>933</v>
      </c>
      <c r="E98" s="602" t="s">
        <v>934</v>
      </c>
      <c r="F98" s="656" t="s">
        <v>308</v>
      </c>
      <c r="G98" s="320"/>
      <c r="H98" s="945"/>
      <c r="I98" s="320"/>
      <c r="J98" s="945"/>
      <c r="K98" s="225" t="s">
        <v>633</v>
      </c>
      <c r="X98" s="691">
        <v>0</v>
      </c>
    </row>
    <row r="99" spans="1:24" s="2513" customFormat="1" ht="95.25" hidden="1" customHeight="1">
      <c r="A99" s="2871"/>
      <c r="B99" s="446" t="s">
        <v>590</v>
      </c>
      <c r="D99" s="600" t="s">
        <v>111</v>
      </c>
      <c r="E99" s="601" t="s">
        <v>935</v>
      </c>
      <c r="F99" s="656" t="s">
        <v>308</v>
      </c>
      <c r="G99" s="320"/>
      <c r="H99" s="945"/>
      <c r="I99" s="320"/>
      <c r="J99" s="945"/>
      <c r="K99" s="225" t="s">
        <v>633</v>
      </c>
      <c r="X99" s="691">
        <v>0</v>
      </c>
    </row>
    <row r="100" spans="1:24" s="2513" customFormat="1" ht="22.5" hidden="1" customHeight="1">
      <c r="A100" s="2871"/>
      <c r="B100" s="446" t="s">
        <v>590</v>
      </c>
      <c r="D100" s="600" t="s">
        <v>147</v>
      </c>
      <c r="E100" s="601" t="s">
        <v>936</v>
      </c>
      <c r="F100" s="656" t="s">
        <v>308</v>
      </c>
      <c r="G100" s="320"/>
      <c r="H100" s="945"/>
      <c r="I100" s="320"/>
      <c r="J100" s="945"/>
      <c r="K100" s="225" t="s">
        <v>633</v>
      </c>
      <c r="X100" s="691">
        <v>0</v>
      </c>
    </row>
    <row r="101" spans="1:24" s="2513" customFormat="1" ht="11.45" customHeight="1">
      <c r="A101" s="955"/>
      <c r="B101" s="453"/>
      <c r="D101" s="956"/>
      <c r="E101" s="957"/>
      <c r="X101" s="444">
        <v>11</v>
      </c>
    </row>
    <row r="102" spans="1:24" ht="22.5" hidden="1" customHeight="1">
      <c r="A102" s="471" t="s">
        <v>81</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529" hidden="1" customWidth="1"/>
    <col min="2" max="2" width="2" style="2529" hidden="1" customWidth="1"/>
    <col min="3" max="3" width="3" style="2529" customWidth="1"/>
    <col min="4" max="4" width="4" style="2529" customWidth="1"/>
    <col min="5" max="5" width="44" style="2529" customWidth="1"/>
    <col min="6" max="6" width="6.42578125" style="2529" customWidth="1"/>
    <col min="7" max="7" width="4" style="2529" customWidth="1"/>
    <col min="8" max="8" width="5" style="2529" customWidth="1"/>
    <col min="9" max="9" width="52" style="2529" customWidth="1"/>
    <col min="10" max="10" width="7" style="2529" customWidth="1"/>
    <col min="11" max="11" width="3" style="2529" customWidth="1"/>
    <col min="12" max="12" width="6" style="2529" customWidth="1"/>
    <col min="13" max="13" width="56" style="2529" customWidth="1"/>
    <col min="14" max="14" width="8" style="2530" customWidth="1"/>
    <col min="15" max="20" width="9.140625" style="2526" hidden="1"/>
    <col min="21" max="24" width="9.140625" style="2531" hidden="1"/>
    <col min="25" max="37" width="9.140625" style="2530" hidden="1"/>
    <col min="38" max="38" width="8" style="2530" customWidth="1"/>
    <col min="39" max="39" width="9.140625" style="2529"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631"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632"/>
      <c r="F4" s="2632"/>
      <c r="G4" s="2632"/>
      <c r="H4" s="2632"/>
      <c r="I4" s="2633"/>
      <c r="J4" s="519"/>
      <c r="K4" s="519"/>
      <c r="L4" s="519"/>
      <c r="M4" s="519"/>
      <c r="AM4" s="518">
        <v>34</v>
      </c>
    </row>
    <row r="5" spans="1:39" s="2528" customFormat="1" ht="14.65" customHeight="1">
      <c r="A5" s="520"/>
      <c r="B5" s="520"/>
      <c r="C5" s="520"/>
      <c r="D5" s="2634" t="str">
        <f>IF(org=0,"Не определено",org)</f>
        <v>ООО "Ноябрьская ПГЭ"</v>
      </c>
      <c r="E5" s="2635"/>
      <c r="F5" s="2635"/>
      <c r="G5" s="2635"/>
      <c r="H5" s="2635"/>
      <c r="I5" s="2636"/>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528" customFormat="1" ht="6.4" customHeight="1">
      <c r="A6" s="2613"/>
      <c r="B6" s="2613"/>
      <c r="C6" s="2613"/>
      <c r="D6" s="2613"/>
      <c r="E6" s="2613"/>
      <c r="F6" s="2613"/>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64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42"/>
      <c r="G7" s="2642"/>
      <c r="H7" s="2642"/>
      <c r="I7" s="2642"/>
      <c r="J7" s="2642"/>
      <c r="K7" s="2642"/>
      <c r="L7" s="2642"/>
      <c r="M7" s="2642"/>
      <c r="AM7" s="518">
        <v>0</v>
      </c>
    </row>
    <row r="8" spans="1:39" s="2528"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637"/>
      <c r="B9" s="259"/>
      <c r="C9" s="259"/>
      <c r="D9" s="2638" t="s">
        <v>104</v>
      </c>
      <c r="E9" s="2638"/>
      <c r="F9" s="2639" t="s">
        <v>105</v>
      </c>
      <c r="G9" s="2640"/>
      <c r="H9" s="2640"/>
      <c r="I9" s="2640"/>
      <c r="J9" s="2643" t="s">
        <v>106</v>
      </c>
      <c r="K9" s="2643"/>
      <c r="L9" s="2643"/>
      <c r="M9" s="2643"/>
      <c r="AM9" s="518">
        <v>18</v>
      </c>
    </row>
    <row r="10" spans="1:39" ht="24" customHeight="1">
      <c r="A10" s="2637"/>
      <c r="B10" s="527"/>
      <c r="C10" s="460"/>
      <c r="D10" s="458" t="s">
        <v>87</v>
      </c>
      <c r="E10" s="458" t="s">
        <v>88</v>
      </c>
      <c r="F10" s="458" t="s">
        <v>107</v>
      </c>
      <c r="G10" s="2644" t="s">
        <v>87</v>
      </c>
      <c r="H10" s="2645"/>
      <c r="I10" s="458" t="s">
        <v>88</v>
      </c>
      <c r="J10" s="458" t="s">
        <v>107</v>
      </c>
      <c r="K10" s="2644" t="s">
        <v>87</v>
      </c>
      <c r="L10" s="2645"/>
      <c r="M10" s="458" t="s">
        <v>88</v>
      </c>
      <c r="N10" s="1545"/>
      <c r="AM10" s="518">
        <v>23</v>
      </c>
    </row>
    <row r="11" spans="1:39" s="2529" customFormat="1" ht="11.25" hidden="1" customHeight="1">
      <c r="A11" s="528"/>
      <c r="B11" s="528"/>
      <c r="C11" s="528"/>
      <c r="D11" s="529" t="s">
        <v>108</v>
      </c>
      <c r="E11" s="529" t="s">
        <v>109</v>
      </c>
      <c r="F11" s="529" t="s">
        <v>89</v>
      </c>
      <c r="G11" s="2627" t="s">
        <v>90</v>
      </c>
      <c r="H11" s="2628"/>
      <c r="I11" s="529" t="s">
        <v>110</v>
      </c>
      <c r="J11" s="529" t="s">
        <v>91</v>
      </c>
      <c r="K11" s="2629" t="s">
        <v>92</v>
      </c>
      <c r="L11" s="2630"/>
      <c r="M11" s="529" t="s">
        <v>111</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112</v>
      </c>
      <c r="P12" s="1331" t="s">
        <v>113</v>
      </c>
      <c r="Q12" s="1331" t="s">
        <v>114</v>
      </c>
      <c r="R12" s="1331" t="s">
        <v>115</v>
      </c>
      <c r="AM12" s="518">
        <v>1</v>
      </c>
    </row>
    <row r="13" spans="1:39" s="2529" customFormat="1" ht="15.75" customHeight="1">
      <c r="A13" s="229"/>
      <c r="B13" s="229"/>
      <c r="C13" s="461"/>
      <c r="D13" s="2620" t="s">
        <v>108</v>
      </c>
      <c r="E13" s="2621"/>
      <c r="F13" s="2624" t="s">
        <v>66</v>
      </c>
      <c r="G13" s="2625"/>
      <c r="H13" s="2626">
        <v>1</v>
      </c>
      <c r="I13" s="2617" t="str">
        <f>IF(U13="","",INDEX(TERRITORY_MR_LIST,MATCH(U13,TERRITORY_LIST_ID,0)))</f>
        <v/>
      </c>
      <c r="J13" s="2619" t="s">
        <v>19</v>
      </c>
      <c r="K13" s="537"/>
      <c r="L13" s="462" t="s">
        <v>108</v>
      </c>
      <c r="M13" s="538" t="s">
        <v>28</v>
      </c>
      <c r="N13" s="741"/>
      <c r="O13" s="1334" t="s">
        <v>116</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117</v>
      </c>
      <c r="Z13" s="539">
        <v>1705000</v>
      </c>
      <c r="AA13" s="539"/>
      <c r="AB13" s="539"/>
      <c r="AC13" s="539"/>
      <c r="AD13" s="539"/>
      <c r="AE13" s="539"/>
      <c r="AF13" s="539"/>
      <c r="AG13" s="539"/>
      <c r="AH13" s="539"/>
      <c r="AI13" s="539"/>
      <c r="AJ13" s="539"/>
      <c r="AK13" s="539"/>
      <c r="AL13" s="539"/>
      <c r="AM13" s="541">
        <v>15</v>
      </c>
    </row>
    <row r="14" spans="1:39" s="2529" customFormat="1" ht="15.75" customHeight="1">
      <c r="A14" s="229"/>
      <c r="B14" s="229"/>
      <c r="C14" s="112"/>
      <c r="D14" s="2620"/>
      <c r="E14" s="2622"/>
      <c r="F14" s="2619"/>
      <c r="G14" s="2625"/>
      <c r="H14" s="2626"/>
      <c r="I14" s="2618"/>
      <c r="J14" s="2619"/>
      <c r="K14" s="356"/>
      <c r="L14" s="113"/>
      <c r="M14" s="542" t="s">
        <v>118</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529" customFormat="1" ht="15.75" customHeight="1">
      <c r="A15" s="229"/>
      <c r="B15" s="229"/>
      <c r="C15" s="112"/>
      <c r="D15" s="2620"/>
      <c r="E15" s="2623"/>
      <c r="F15" s="2619"/>
      <c r="G15" s="982"/>
      <c r="H15" s="983"/>
      <c r="I15" s="515" t="s">
        <v>119</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120</v>
      </c>
      <c r="F16" s="113"/>
      <c r="G16" s="113"/>
      <c r="H16" s="113"/>
      <c r="I16" s="113"/>
      <c r="J16" s="113"/>
      <c r="K16" s="113" t="s">
        <v>28</v>
      </c>
      <c r="L16" s="113"/>
      <c r="M16" s="543"/>
      <c r="N16" s="1545"/>
      <c r="AM16" s="518">
        <v>15</v>
      </c>
    </row>
    <row r="17" spans="1:39" ht="11.25" hidden="1" customHeight="1">
      <c r="A17" s="518" t="s">
        <v>81</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511" hidden="1" customWidth="1"/>
    <col min="2" max="2" width="9.140625" style="2513" hidden="1" customWidth="1"/>
    <col min="3" max="3" width="4" style="2558" customWidth="1"/>
    <col min="4" max="4" width="6" style="2513" customWidth="1"/>
    <col min="5" max="5" width="36" style="2513" customWidth="1"/>
    <col min="6" max="6" width="9" style="2513" customWidth="1"/>
    <col min="7" max="7" width="25.7109375" style="2513" hidden="1" customWidth="1"/>
    <col min="8" max="8" width="33.7109375" style="2513" hidden="1" customWidth="1"/>
    <col min="9" max="9" width="25.7109375" style="2513" customWidth="1"/>
    <col min="10" max="10" width="33" style="2513" customWidth="1"/>
    <col min="11" max="11" width="93" style="2519" customWidth="1"/>
    <col min="12" max="20" width="10" style="2513" customWidth="1"/>
    <col min="21" max="21" width="10" style="2559" customWidth="1"/>
    <col min="22" max="22" width="10.5703125" style="2513" hidden="1"/>
  </cols>
  <sheetData>
    <row r="1" spans="1:22" s="2519" customFormat="1" ht="22.5" hidden="1" customHeight="1">
      <c r="C1" s="607"/>
      <c r="G1" s="352">
        <v>4</v>
      </c>
      <c r="I1" s="352">
        <v>4</v>
      </c>
      <c r="U1" s="355"/>
      <c r="V1" s="352" t="s">
        <v>14</v>
      </c>
    </row>
    <row r="2" spans="1:22" s="2519" customFormat="1" ht="15" hidden="1" customHeight="1">
      <c r="C2" s="607"/>
      <c r="U2" s="355"/>
      <c r="V2" s="352">
        <v>0</v>
      </c>
    </row>
    <row r="3" spans="1:22" ht="22.5" hidden="1" customHeight="1">
      <c r="A3" s="440"/>
      <c r="B3" s="2876"/>
      <c r="C3" s="2877" t="s">
        <v>427</v>
      </c>
      <c r="D3" s="624" t="str">
        <f>B3&amp;".1"</f>
        <v>.1</v>
      </c>
      <c r="E3" s="625" t="s">
        <v>937</v>
      </c>
      <c r="F3" s="626" t="s">
        <v>308</v>
      </c>
      <c r="G3" s="621"/>
      <c r="H3" s="336"/>
      <c r="I3" s="621"/>
      <c r="J3" s="336"/>
      <c r="K3" s="225" t="s">
        <v>938</v>
      </c>
      <c r="V3" s="440">
        <v>0</v>
      </c>
    </row>
    <row r="4" spans="1:22" ht="15" hidden="1" customHeight="1">
      <c r="A4" s="440"/>
      <c r="B4" s="2876"/>
      <c r="C4" s="2877"/>
      <c r="D4" s="624" t="str">
        <f>B3&amp;".2"</f>
        <v>.2</v>
      </c>
      <c r="E4" s="625" t="s">
        <v>939</v>
      </c>
      <c r="F4" s="626" t="s">
        <v>308</v>
      </c>
      <c r="G4" s="1655" t="s">
        <v>28</v>
      </c>
      <c r="H4" s="336"/>
      <c r="I4" s="1655" t="s">
        <v>28</v>
      </c>
      <c r="J4" s="336"/>
      <c r="K4" s="225" t="s">
        <v>940</v>
      </c>
      <c r="V4" s="440">
        <v>0</v>
      </c>
    </row>
    <row r="5" spans="1:22" s="2519" customFormat="1" ht="15" hidden="1" customHeight="1">
      <c r="C5" s="607"/>
      <c r="U5" s="355"/>
      <c r="V5" s="352">
        <v>0</v>
      </c>
    </row>
    <row r="6" spans="1:22" ht="22.5" hidden="1" customHeight="1">
      <c r="A6" s="440"/>
      <c r="B6" s="2876"/>
      <c r="C6" s="2877" t="s">
        <v>427</v>
      </c>
      <c r="D6" s="624" t="str">
        <f>B6&amp;".1"</f>
        <v>.1</v>
      </c>
      <c r="E6" s="625" t="s">
        <v>941</v>
      </c>
      <c r="F6" s="626" t="s">
        <v>308</v>
      </c>
      <c r="G6" s="621"/>
      <c r="H6" s="336"/>
      <c r="I6" s="621"/>
      <c r="J6" s="336"/>
      <c r="K6" s="225" t="s">
        <v>942</v>
      </c>
      <c r="V6" s="440">
        <v>0</v>
      </c>
    </row>
    <row r="7" spans="1:22" ht="15" hidden="1" customHeight="1">
      <c r="A7" s="440"/>
      <c r="B7" s="2876"/>
      <c r="C7" s="2877"/>
      <c r="D7" s="624" t="str">
        <f>B6&amp;".2"</f>
        <v>.2</v>
      </c>
      <c r="E7" s="625" t="s">
        <v>939</v>
      </c>
      <c r="F7" s="626" t="s">
        <v>308</v>
      </c>
      <c r="G7" s="1655" t="s">
        <v>28</v>
      </c>
      <c r="H7" s="336"/>
      <c r="I7" s="1655" t="s">
        <v>28</v>
      </c>
      <c r="J7" s="336"/>
      <c r="K7" s="225" t="s">
        <v>940</v>
      </c>
      <c r="V7" s="440">
        <v>0</v>
      </c>
    </row>
    <row r="8" spans="1:22" s="2519" customFormat="1" ht="15" hidden="1" customHeight="1">
      <c r="C8" s="607"/>
      <c r="U8" s="355"/>
      <c r="V8" s="352">
        <v>0</v>
      </c>
    </row>
    <row r="9" spans="1:22" ht="22.5" hidden="1" customHeight="1">
      <c r="A9" s="440"/>
      <c r="B9" s="2876"/>
      <c r="C9" s="2877" t="s">
        <v>427</v>
      </c>
      <c r="D9" s="624" t="str">
        <f>B9&amp;".1"</f>
        <v>.1</v>
      </c>
      <c r="E9" s="625" t="s">
        <v>943</v>
      </c>
      <c r="F9" s="626" t="s">
        <v>308</v>
      </c>
      <c r="G9" s="632" t="s">
        <v>28</v>
      </c>
      <c r="H9" s="336" t="s">
        <v>28</v>
      </c>
      <c r="I9" s="632" t="s">
        <v>28</v>
      </c>
      <c r="J9" s="336" t="s">
        <v>28</v>
      </c>
      <c r="K9" s="225"/>
      <c r="V9" s="440">
        <v>0</v>
      </c>
    </row>
    <row r="10" spans="1:22" ht="15" hidden="1" customHeight="1">
      <c r="A10" s="440"/>
      <c r="B10" s="2876"/>
      <c r="C10" s="2877"/>
      <c r="D10" s="624" t="str">
        <f>B9&amp;".2"</f>
        <v>.2</v>
      </c>
      <c r="E10" s="625" t="s">
        <v>944</v>
      </c>
      <c r="F10" s="626" t="s">
        <v>308</v>
      </c>
      <c r="G10" s="1649" t="s">
        <v>28</v>
      </c>
      <c r="H10" s="336" t="s">
        <v>28</v>
      </c>
      <c r="I10" s="1649" t="s">
        <v>28</v>
      </c>
      <c r="J10" s="336" t="s">
        <v>28</v>
      </c>
      <c r="K10" s="225" t="s">
        <v>945</v>
      </c>
      <c r="V10" s="440">
        <v>0</v>
      </c>
    </row>
    <row r="11" spans="1:22" ht="15" hidden="1" customHeight="1">
      <c r="A11" s="440"/>
      <c r="B11" s="2876"/>
      <c r="C11" s="2877"/>
      <c r="D11" s="624" t="str">
        <f>B9&amp;".3"</f>
        <v>.3</v>
      </c>
      <c r="E11" s="625" t="s">
        <v>946</v>
      </c>
      <c r="F11" s="626" t="s">
        <v>308</v>
      </c>
      <c r="G11" s="1649" t="s">
        <v>28</v>
      </c>
      <c r="H11" s="336" t="s">
        <v>28</v>
      </c>
      <c r="I11" s="1649" t="s">
        <v>28</v>
      </c>
      <c r="J11" s="336" t="s">
        <v>28</v>
      </c>
      <c r="K11" s="225" t="s">
        <v>947</v>
      </c>
      <c r="V11" s="440">
        <v>0</v>
      </c>
    </row>
    <row r="12" spans="1:22" s="2519" customFormat="1" ht="15" hidden="1" customHeight="1">
      <c r="C12" s="607"/>
      <c r="U12" s="355"/>
      <c r="V12" s="352">
        <v>0</v>
      </c>
    </row>
    <row r="13" spans="1:22" ht="33.75" hidden="1" customHeight="1">
      <c r="A13" s="440"/>
      <c r="B13" s="2876"/>
      <c r="C13" s="2877" t="s">
        <v>427</v>
      </c>
      <c r="D13" s="624" t="str">
        <f>B13&amp;".1"</f>
        <v>.1</v>
      </c>
      <c r="E13" s="625" t="s">
        <v>948</v>
      </c>
      <c r="F13" s="626" t="s">
        <v>308</v>
      </c>
      <c r="G13" s="632" t="s">
        <v>28</v>
      </c>
      <c r="H13" s="336" t="s">
        <v>28</v>
      </c>
      <c r="I13" s="632" t="s">
        <v>28</v>
      </c>
      <c r="J13" s="336" t="s">
        <v>28</v>
      </c>
      <c r="K13" s="225" t="s">
        <v>949</v>
      </c>
      <c r="V13" s="440">
        <v>0</v>
      </c>
    </row>
    <row r="14" spans="1:22" ht="15" hidden="1" customHeight="1">
      <c r="B14" s="2876"/>
      <c r="C14" s="2877"/>
      <c r="D14" s="624" t="str">
        <f>B13&amp;".2"</f>
        <v>.2</v>
      </c>
      <c r="E14" s="625" t="s">
        <v>950</v>
      </c>
      <c r="F14" s="626" t="s">
        <v>308</v>
      </c>
      <c r="G14" s="1649" t="s">
        <v>28</v>
      </c>
      <c r="H14" s="336" t="s">
        <v>28</v>
      </c>
      <c r="I14" s="1649" t="s">
        <v>28</v>
      </c>
      <c r="J14" s="336" t="s">
        <v>28</v>
      </c>
      <c r="K14" s="225" t="s">
        <v>951</v>
      </c>
      <c r="V14" s="440">
        <v>0</v>
      </c>
    </row>
    <row r="15" spans="1:22" s="2519" customFormat="1" ht="15" hidden="1" customHeight="1">
      <c r="C15" s="607"/>
      <c r="U15" s="355"/>
      <c r="V15" s="352">
        <v>0</v>
      </c>
    </row>
    <row r="16" spans="1:22" s="2519" customFormat="1" ht="15" hidden="1" customHeight="1">
      <c r="C16" s="607"/>
      <c r="U16" s="355"/>
      <c r="V16" s="352">
        <v>0</v>
      </c>
    </row>
    <row r="17" spans="1:22" s="2519" customFormat="1" ht="15" hidden="1" customHeight="1">
      <c r="C17" s="607"/>
      <c r="U17" s="355"/>
      <c r="V17" s="352">
        <v>0</v>
      </c>
    </row>
    <row r="18" spans="1:22" s="2519" customFormat="1" ht="15" hidden="1" customHeight="1">
      <c r="C18" s="607"/>
      <c r="U18" s="355"/>
      <c r="V18" s="352">
        <v>0</v>
      </c>
    </row>
    <row r="19" spans="1:22" s="2519" customFormat="1" ht="15" hidden="1" customHeight="1">
      <c r="C19" s="607"/>
      <c r="U19" s="355"/>
      <c r="V19" s="352">
        <v>0</v>
      </c>
    </row>
    <row r="20" spans="1:22" s="2519"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74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749"/>
      <c r="F22" s="2749"/>
      <c r="G22" s="2749"/>
      <c r="H22" s="2749"/>
      <c r="I22" s="2749"/>
      <c r="J22" s="611"/>
      <c r="K22" s="472"/>
      <c r="V22" s="440">
        <v>22</v>
      </c>
    </row>
    <row r="23" spans="1:22" ht="15.75" customHeight="1">
      <c r="C23" s="112"/>
      <c r="D23" s="2696" t="str">
        <f>IF(org=0,"Не определено",org)</f>
        <v>ООО "Ноябрьская ПГЭ"</v>
      </c>
      <c r="E23" s="2696"/>
      <c r="F23" s="2696"/>
      <c r="G23" s="2696"/>
      <c r="H23" s="2696"/>
      <c r="I23" s="2696"/>
      <c r="J23" s="611"/>
      <c r="K23" s="472"/>
      <c r="V23" s="440">
        <v>15</v>
      </c>
    </row>
    <row r="24" spans="1:22" ht="15.75" customHeight="1">
      <c r="C24" s="112"/>
      <c r="D24" s="444"/>
      <c r="E24" s="444"/>
      <c r="F24" s="444"/>
      <c r="G24" s="472">
        <v>22</v>
      </c>
      <c r="H24" s="687"/>
      <c r="I24" s="472">
        <v>22</v>
      </c>
      <c r="J24" s="687"/>
      <c r="V24" s="440">
        <v>15</v>
      </c>
    </row>
    <row r="25" spans="1:22" s="2513" customFormat="1" ht="1.1499999999999999" customHeight="1">
      <c r="A25" s="692"/>
      <c r="C25" s="112"/>
      <c r="D25" s="444"/>
      <c r="E25" s="444"/>
      <c r="F25" s="444"/>
      <c r="G25" s="472"/>
      <c r="H25" s="687"/>
      <c r="I25" s="472" t="s">
        <v>116</v>
      </c>
      <c r="J25" s="687"/>
      <c r="K25" s="352"/>
      <c r="U25" s="610"/>
      <c r="V25" s="691">
        <v>1</v>
      </c>
    </row>
    <row r="26" spans="1:22" ht="15.75" customHeight="1">
      <c r="C26" s="112"/>
      <c r="D26" s="646"/>
      <c r="E26" s="2849" t="s">
        <v>104</v>
      </c>
      <c r="F26" s="2850"/>
      <c r="G26" s="2874" t="str">
        <f>IF(G25="","",INDEX(DIFFERENTIATION_UNMERGE_VD,MATCH(G25,DIFFERENTIATION_ID_DIFF,0)))</f>
        <v/>
      </c>
      <c r="H26" s="2875"/>
      <c r="I26" s="2874">
        <f>IF(I25="","",INDEX(DIFFERENTIATION_UNMERGE_VD,MATCH(I25,DIFFERENTIATION_ID_DIFF,0)))</f>
        <v>0</v>
      </c>
      <c r="J26" s="2875"/>
      <c r="K26" s="2695" t="s">
        <v>303</v>
      </c>
      <c r="V26" s="440">
        <v>15</v>
      </c>
    </row>
    <row r="27" spans="1:22" s="2513" customFormat="1" ht="15.75" customHeight="1">
      <c r="A27" s="692"/>
      <c r="C27" s="112"/>
      <c r="D27" s="646"/>
      <c r="E27" s="2849" t="s">
        <v>566</v>
      </c>
      <c r="F27" s="2850"/>
      <c r="G27" s="2874" t="str">
        <f>IF(G25="","",INDEX(DIFFERENTIATION_UNMERGE_AREA,MATCH(G25,DIFFERENTIATION_ID_DIFF,0)))</f>
        <v/>
      </c>
      <c r="H27" s="2875"/>
      <c r="I27" s="2874" t="str">
        <f>IF(I25="","",INDEX(DIFFERENTIATION_UNMERGE_AREA,MATCH(I25,DIFFERENTIATION_ID_DIFF,0)))</f>
        <v/>
      </c>
      <c r="J27" s="2875"/>
      <c r="K27" s="2713"/>
      <c r="U27" s="610"/>
      <c r="V27" s="691">
        <v>15</v>
      </c>
    </row>
    <row r="28" spans="1:22" s="2513" customFormat="1" ht="15.75" customHeight="1">
      <c r="A28" s="692"/>
      <c r="C28" s="112"/>
      <c r="D28" s="646"/>
      <c r="E28" s="2849" t="s">
        <v>567</v>
      </c>
      <c r="F28" s="2850"/>
      <c r="G28" s="2874" t="str">
        <f>IF(G25="","",INDEX(DIFFERENTIATION_UNMERGE_SYSTEM,MATCH(G25,DIFFERENTIATION_ID_DIFF,0)))</f>
        <v/>
      </c>
      <c r="H28" s="2875"/>
      <c r="I28" s="2874" t="str">
        <f>IF(I25="","",INDEX(DIFFERENTIATION_UNMERGE_SYSTEM,MATCH(I25,DIFFERENTIATION_ID_DIFF,0)))</f>
        <v>без дифференциации</v>
      </c>
      <c r="J28" s="2875"/>
      <c r="K28" s="2713"/>
      <c r="U28" s="610"/>
      <c r="V28" s="691">
        <v>15</v>
      </c>
    </row>
    <row r="29" spans="1:22" s="2513" customFormat="1" ht="15.75" customHeight="1">
      <c r="A29" s="692"/>
      <c r="C29" s="112"/>
      <c r="D29" s="2851" t="s">
        <v>302</v>
      </c>
      <c r="E29" s="2852"/>
      <c r="F29" s="2852"/>
      <c r="G29" s="811"/>
      <c r="H29" s="811"/>
      <c r="I29" s="811"/>
      <c r="J29" s="812"/>
      <c r="K29" s="2713"/>
      <c r="U29" s="610"/>
      <c r="V29" s="691">
        <v>15</v>
      </c>
    </row>
    <row r="30" spans="1:22" ht="35.65" customHeight="1">
      <c r="C30" s="112"/>
      <c r="D30" s="694" t="s">
        <v>87</v>
      </c>
      <c r="E30" s="693" t="s">
        <v>304</v>
      </c>
      <c r="F30" s="693" t="s">
        <v>568</v>
      </c>
      <c r="G30" s="737" t="s">
        <v>305</v>
      </c>
      <c r="H30" s="736" t="s">
        <v>392</v>
      </c>
      <c r="I30" s="619" t="s">
        <v>305</v>
      </c>
      <c r="J30" s="400" t="s">
        <v>392</v>
      </c>
      <c r="K30" s="2716"/>
      <c r="V30" s="440">
        <v>34</v>
      </c>
    </row>
    <row r="31" spans="1:22" ht="15" hidden="1" customHeight="1">
      <c r="C31" s="112"/>
      <c r="D31" s="528"/>
      <c r="E31" s="528"/>
      <c r="F31" s="528"/>
      <c r="G31" s="594"/>
      <c r="H31" s="594"/>
      <c r="I31" s="594"/>
      <c r="J31" s="594"/>
      <c r="K31" s="225"/>
      <c r="V31" s="440">
        <v>0</v>
      </c>
    </row>
    <row r="32" spans="1:22" ht="24" customHeight="1">
      <c r="A32" s="440"/>
      <c r="B32" s="440" t="s">
        <v>952</v>
      </c>
      <c r="C32" s="461"/>
      <c r="D32" s="627">
        <v>1</v>
      </c>
      <c r="E32" s="628" t="s">
        <v>953</v>
      </c>
      <c r="F32" s="626" t="s">
        <v>308</v>
      </c>
      <c r="G32" s="742" t="s">
        <v>308</v>
      </c>
      <c r="H32" s="742" t="s">
        <v>308</v>
      </c>
      <c r="I32" s="626" t="s">
        <v>308</v>
      </c>
      <c r="J32" s="626" t="s">
        <v>308</v>
      </c>
      <c r="K32" s="225"/>
      <c r="V32" s="440">
        <v>23</v>
      </c>
    </row>
    <row r="33" spans="1:22" ht="11.45" customHeight="1">
      <c r="A33" s="440"/>
      <c r="C33" s="440"/>
      <c r="D33" s="283"/>
      <c r="E33" s="515" t="s">
        <v>588</v>
      </c>
      <c r="F33" s="507"/>
      <c r="G33" s="507"/>
      <c r="H33" s="507"/>
      <c r="I33" s="507"/>
      <c r="J33" s="507"/>
      <c r="K33" s="508"/>
      <c r="U33" s="440"/>
      <c r="V33" s="440">
        <v>11</v>
      </c>
    </row>
    <row r="34" spans="1:22" ht="24" customHeight="1">
      <c r="A34" s="440"/>
      <c r="B34" s="516" t="s">
        <v>638</v>
      </c>
      <c r="C34" s="461"/>
      <c r="D34" s="627">
        <v>2</v>
      </c>
      <c r="E34" s="628" t="s">
        <v>954</v>
      </c>
      <c r="F34" s="749" t="s">
        <v>308</v>
      </c>
      <c r="G34" s="749" t="s">
        <v>308</v>
      </c>
      <c r="H34" s="749" t="s">
        <v>308</v>
      </c>
      <c r="I34" s="626"/>
      <c r="J34" s="626"/>
      <c r="K34" s="225"/>
      <c r="V34" s="440">
        <v>23</v>
      </c>
    </row>
    <row r="35" spans="1:22" ht="11.45" customHeight="1">
      <c r="A35" s="440"/>
      <c r="C35" s="440"/>
      <c r="D35" s="283"/>
      <c r="E35" s="515" t="s">
        <v>955</v>
      </c>
      <c r="F35" s="507"/>
      <c r="G35" s="629"/>
      <c r="H35" s="507"/>
      <c r="I35" s="629"/>
      <c r="J35" s="507"/>
      <c r="K35" s="508"/>
      <c r="U35" s="440"/>
      <c r="V35" s="440">
        <v>11</v>
      </c>
    </row>
    <row r="36" spans="1:22" ht="71.25" customHeight="1">
      <c r="A36" s="440"/>
      <c r="B36" s="440" t="s">
        <v>956</v>
      </c>
      <c r="C36" s="461"/>
      <c r="D36" s="627">
        <v>3</v>
      </c>
      <c r="E36" s="628" t="s">
        <v>957</v>
      </c>
      <c r="F36" s="630" t="s">
        <v>308</v>
      </c>
      <c r="G36" s="743" t="s">
        <v>958</v>
      </c>
      <c r="H36" s="742" t="s">
        <v>308</v>
      </c>
      <c r="I36" s="459" t="s">
        <v>958</v>
      </c>
      <c r="J36" s="626" t="s">
        <v>308</v>
      </c>
      <c r="K36" s="225" t="s">
        <v>959</v>
      </c>
      <c r="V36" s="440">
        <v>68</v>
      </c>
    </row>
    <row r="37" spans="1:22" ht="11.45" customHeight="1">
      <c r="A37" s="440"/>
      <c r="C37" s="440"/>
      <c r="D37" s="283"/>
      <c r="E37" s="515" t="s">
        <v>960</v>
      </c>
      <c r="F37" s="507"/>
      <c r="G37" s="629"/>
      <c r="H37" s="629"/>
      <c r="I37" s="629"/>
      <c r="J37" s="629"/>
      <c r="K37" s="508"/>
      <c r="U37" s="440"/>
      <c r="V37" s="440">
        <v>11</v>
      </c>
    </row>
    <row r="38" spans="1:22" ht="71.25" customHeight="1">
      <c r="A38" s="440"/>
      <c r="B38" s="440" t="s">
        <v>961</v>
      </c>
      <c r="C38" s="461"/>
      <c r="D38" s="627">
        <v>4</v>
      </c>
      <c r="E38" s="628" t="s">
        <v>962</v>
      </c>
      <c r="F38" s="630" t="s">
        <v>308</v>
      </c>
      <c r="G38" s="743" t="s">
        <v>958</v>
      </c>
      <c r="H38" s="744" t="s">
        <v>308</v>
      </c>
      <c r="I38" s="459" t="s">
        <v>958</v>
      </c>
      <c r="J38" s="456" t="s">
        <v>308</v>
      </c>
      <c r="K38" s="614" t="s">
        <v>963</v>
      </c>
      <c r="V38" s="440">
        <v>68</v>
      </c>
    </row>
    <row r="39" spans="1:22" ht="11.45" customHeight="1">
      <c r="A39" s="440"/>
      <c r="C39" s="440"/>
      <c r="D39" s="283"/>
      <c r="E39" s="515" t="s">
        <v>964</v>
      </c>
      <c r="F39" s="507"/>
      <c r="G39" s="507"/>
      <c r="H39" s="631"/>
      <c r="I39" s="507"/>
      <c r="J39" s="631"/>
      <c r="K39" s="508"/>
      <c r="U39" s="440"/>
      <c r="V39" s="440">
        <v>11</v>
      </c>
    </row>
    <row r="40" spans="1:22" ht="22.5" hidden="1" customHeight="1">
      <c r="A40" s="384" t="s">
        <v>81</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557" hidden="1" customWidth="1"/>
    <col min="4" max="4" width="6.7109375" style="2519" hidden="1" customWidth="1"/>
    <col min="5" max="5" width="3" style="2513" customWidth="1"/>
    <col min="6" max="6" width="6" style="2513" customWidth="1"/>
    <col min="7" max="7" width="37" style="2513" customWidth="1"/>
    <col min="8" max="8" width="16" style="2513" customWidth="1"/>
    <col min="9" max="10" width="19" style="2513" customWidth="1"/>
    <col min="11" max="11" width="24" style="2513" customWidth="1"/>
    <col min="12" max="13" width="25" style="2513" customWidth="1"/>
    <col min="14" max="16" width="17" style="2513" customWidth="1"/>
    <col min="17" max="24" width="19" style="2513" customWidth="1"/>
    <col min="25" max="25" width="7" style="2513" customWidth="1"/>
    <col min="26" max="26" width="3" style="2513" customWidth="1"/>
    <col min="27" max="27" width="6" style="2513" customWidth="1"/>
    <col min="28" max="28" width="34" style="2513" customWidth="1"/>
    <col min="29" max="30" width="8" style="2513" customWidth="1"/>
    <col min="31" max="31" width="9.140625" style="2513" hidden="1"/>
  </cols>
  <sheetData>
    <row r="1" spans="1:31" s="2519" customFormat="1" ht="10.5" hidden="1" customHeight="1">
      <c r="A1" s="819"/>
      <c r="B1" s="819"/>
      <c r="C1" s="819"/>
      <c r="E1" s="472"/>
      <c r="H1" s="1078"/>
      <c r="AE1" s="352" t="s">
        <v>14</v>
      </c>
    </row>
    <row r="2" spans="1:31" ht="10.5" hidden="1" customHeight="1">
      <c r="AE2" s="691">
        <v>0</v>
      </c>
    </row>
    <row r="3" spans="1:31" s="2511" customFormat="1" ht="10.5" hidden="1" customHeight="1">
      <c r="A3" s="819"/>
      <c r="B3" s="819"/>
      <c r="C3" s="819"/>
      <c r="D3" s="352"/>
      <c r="E3" s="297"/>
      <c r="G3" s="1550" t="s">
        <v>965</v>
      </c>
      <c r="H3" s="1074"/>
      <c r="AE3" s="692">
        <v>0</v>
      </c>
    </row>
    <row r="4" spans="1:31" ht="3" customHeight="1">
      <c r="AE4" s="691">
        <v>3</v>
      </c>
    </row>
    <row r="5" spans="1:31" ht="27.4" customHeight="1">
      <c r="F5" s="274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49"/>
      <c r="H5" s="2749"/>
      <c r="I5" s="2749"/>
      <c r="J5" s="2749"/>
      <c r="K5" s="2749"/>
      <c r="M5" s="517"/>
      <c r="AB5" s="830"/>
      <c r="AE5" s="691">
        <v>26</v>
      </c>
    </row>
    <row r="6" spans="1:31" s="2513" customFormat="1" ht="16.899999999999999" customHeight="1">
      <c r="A6" s="1084"/>
      <c r="B6" s="1084"/>
      <c r="C6" s="1084"/>
      <c r="D6" s="1078"/>
      <c r="E6" s="1553"/>
      <c r="F6" s="2696" t="str">
        <f>IF(org=0,"Не определено",org)</f>
        <v>ООО "Ноябрьская ПГЭ"</v>
      </c>
      <c r="G6" s="2696"/>
      <c r="H6" s="2696"/>
      <c r="I6" s="2696"/>
      <c r="J6" s="2696"/>
      <c r="K6" s="2696"/>
      <c r="M6" s="517"/>
      <c r="AB6" s="1066"/>
      <c r="AE6" s="1549">
        <v>16</v>
      </c>
    </row>
    <row r="7" spans="1:31" ht="10.5" customHeight="1">
      <c r="AE7" s="691">
        <v>10</v>
      </c>
    </row>
    <row r="8" spans="1:31" ht="10.5" customHeight="1">
      <c r="A8" s="973"/>
      <c r="B8" s="973"/>
      <c r="C8" s="973"/>
      <c r="F8" s="2610" t="s">
        <v>302</v>
      </c>
      <c r="G8" s="2615"/>
      <c r="H8" s="2615"/>
      <c r="I8" s="2615"/>
      <c r="J8" s="2615"/>
      <c r="K8" s="2615"/>
      <c r="L8" s="2615"/>
      <c r="M8" s="2615"/>
      <c r="N8" s="2615"/>
      <c r="O8" s="2615"/>
      <c r="P8" s="2615"/>
      <c r="Q8" s="2615"/>
      <c r="R8" s="2615"/>
      <c r="S8" s="2615"/>
      <c r="T8" s="2615"/>
      <c r="U8" s="2615"/>
      <c r="V8" s="2615"/>
      <c r="W8" s="2615"/>
      <c r="X8" s="2615"/>
      <c r="Y8" s="2615"/>
      <c r="Z8" s="2615"/>
      <c r="AA8" s="2615"/>
      <c r="AB8" s="2609"/>
      <c r="AE8" s="691">
        <v>10</v>
      </c>
    </row>
    <row r="9" spans="1:31" ht="43.15" customHeight="1">
      <c r="A9" s="829"/>
      <c r="B9" s="829"/>
      <c r="C9" s="829"/>
      <c r="F9" s="2638" t="s">
        <v>87</v>
      </c>
      <c r="G9" s="2638" t="s">
        <v>965</v>
      </c>
      <c r="H9" s="2695" t="s">
        <v>966</v>
      </c>
      <c r="I9" s="2638" t="s">
        <v>967</v>
      </c>
      <c r="J9" s="2638" t="s">
        <v>968</v>
      </c>
      <c r="K9" s="2638" t="s">
        <v>969</v>
      </c>
      <c r="L9" s="2638" t="s">
        <v>970</v>
      </c>
      <c r="M9" s="2638" t="s">
        <v>971</v>
      </c>
      <c r="N9" s="2724" t="s">
        <v>972</v>
      </c>
      <c r="O9" s="2724"/>
      <c r="P9" s="2724"/>
      <c r="Q9" s="2757" t="s">
        <v>973</v>
      </c>
      <c r="R9" s="2758"/>
      <c r="S9" s="2758"/>
      <c r="T9" s="2759"/>
      <c r="U9" s="2757" t="s">
        <v>974</v>
      </c>
      <c r="V9" s="2758"/>
      <c r="W9" s="2758"/>
      <c r="X9" s="2759"/>
      <c r="Y9" s="2610" t="s">
        <v>975</v>
      </c>
      <c r="Z9" s="2615"/>
      <c r="AA9" s="2615"/>
      <c r="AB9" s="2609"/>
      <c r="AE9" s="691">
        <v>41</v>
      </c>
    </row>
    <row r="10" spans="1:31" ht="43.15" customHeight="1">
      <c r="A10" s="829"/>
      <c r="B10" s="829"/>
      <c r="C10" s="829"/>
      <c r="F10" s="2695"/>
      <c r="G10" s="2695"/>
      <c r="H10" s="2744"/>
      <c r="I10" s="2695"/>
      <c r="J10" s="2695"/>
      <c r="K10" s="2695"/>
      <c r="L10" s="2695"/>
      <c r="M10" s="2695"/>
      <c r="N10" s="827" t="s">
        <v>976</v>
      </c>
      <c r="O10" s="827" t="s">
        <v>977</v>
      </c>
      <c r="P10" s="828" t="s">
        <v>978</v>
      </c>
      <c r="Q10" s="839" t="s">
        <v>88</v>
      </c>
      <c r="R10" s="839" t="s">
        <v>979</v>
      </c>
      <c r="S10" s="839" t="s">
        <v>980</v>
      </c>
      <c r="T10" s="840" t="s">
        <v>981</v>
      </c>
      <c r="U10" s="839" t="s">
        <v>88</v>
      </c>
      <c r="V10" s="839" t="s">
        <v>982</v>
      </c>
      <c r="W10" s="839" t="s">
        <v>980</v>
      </c>
      <c r="X10" s="840" t="s">
        <v>981</v>
      </c>
      <c r="Y10" s="237" t="s">
        <v>983</v>
      </c>
      <c r="Z10" s="2610" t="s">
        <v>87</v>
      </c>
      <c r="AA10" s="2609"/>
      <c r="AB10" s="971" t="s">
        <v>984</v>
      </c>
      <c r="AE10" s="691">
        <v>41</v>
      </c>
    </row>
    <row r="11" spans="1:31" s="2520" customFormat="1" ht="5.25" hidden="1" customHeight="1">
      <c r="A11" s="974"/>
      <c r="B11" s="974"/>
      <c r="C11" s="974"/>
      <c r="E11" s="972"/>
      <c r="F11" s="2882" t="s">
        <v>378</v>
      </c>
      <c r="G11" s="2879"/>
      <c r="H11" s="2878"/>
      <c r="I11" s="2878"/>
      <c r="J11" s="2878"/>
      <c r="K11" s="2880"/>
      <c r="L11" s="2880"/>
      <c r="M11" s="2880"/>
      <c r="N11" s="2878"/>
      <c r="O11" s="2878"/>
      <c r="P11" s="2638"/>
      <c r="Q11" s="2699"/>
      <c r="R11" s="2699"/>
      <c r="S11" s="2699"/>
      <c r="T11" s="2878"/>
      <c r="U11" s="2699"/>
      <c r="V11" s="2699"/>
      <c r="W11" s="2699"/>
      <c r="X11" s="2878"/>
      <c r="Y11" s="2620"/>
      <c r="Z11" s="2620"/>
      <c r="AA11" s="2620"/>
      <c r="AB11" s="2620"/>
      <c r="AD11" s="446" t="s">
        <v>985</v>
      </c>
      <c r="AE11" s="446">
        <v>0</v>
      </c>
    </row>
    <row r="12" spans="1:31" s="2520" customFormat="1" ht="5.25" hidden="1" customHeight="1">
      <c r="A12" s="820"/>
      <c r="B12" s="820"/>
      <c r="C12" s="820"/>
      <c r="E12" s="453"/>
      <c r="F12" s="2882"/>
      <c r="G12" s="2879"/>
      <c r="H12" s="2878"/>
      <c r="I12" s="2878"/>
      <c r="J12" s="2878"/>
      <c r="K12" s="2880"/>
      <c r="L12" s="2880"/>
      <c r="M12" s="2880"/>
      <c r="N12" s="2878"/>
      <c r="O12" s="2878"/>
      <c r="P12" s="2638"/>
      <c r="Q12" s="2699"/>
      <c r="R12" s="2699"/>
      <c r="S12" s="2699"/>
      <c r="T12" s="2878"/>
      <c r="U12" s="2699"/>
      <c r="V12" s="2699"/>
      <c r="W12" s="2699"/>
      <c r="X12" s="2878"/>
      <c r="Y12" s="2881"/>
      <c r="Z12" s="2881"/>
      <c r="AA12" s="2881"/>
      <c r="AB12" s="2881"/>
      <c r="AE12" s="446">
        <v>0</v>
      </c>
    </row>
    <row r="13" spans="1:31" ht="10.5" customHeight="1">
      <c r="F13" s="826"/>
      <c r="G13" s="585" t="s">
        <v>986</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520" customFormat="1" ht="10.5" customHeight="1">
      <c r="A15" s="1085"/>
      <c r="B15" s="1085"/>
      <c r="C15" s="1085"/>
      <c r="E15" s="453"/>
      <c r="H15" s="446">
        <f>IFERROR(MATCH("нет",IP_MAIN_DIFFERENTIATION_EVENTS_FLAG,0),0)</f>
        <v>0</v>
      </c>
      <c r="AE15" s="446">
        <v>10</v>
      </c>
    </row>
    <row r="16" spans="1:31" ht="10.5" hidden="1" customHeight="1">
      <c r="A16" s="819" t="s">
        <v>81</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557" hidden="1" customWidth="1"/>
    <col min="4" max="4" width="4.140625" style="2519" hidden="1" customWidth="1"/>
    <col min="5" max="5" width="3" style="2513" customWidth="1"/>
    <col min="6" max="6" width="14" style="2513" customWidth="1"/>
    <col min="7" max="7" width="3" style="2513" customWidth="1"/>
    <col min="8" max="8" width="7" style="2513" customWidth="1"/>
    <col min="9" max="10" width="16" style="2513" customWidth="1"/>
    <col min="11" max="11" width="25" style="2513" customWidth="1"/>
    <col min="12" max="12" width="7" style="2513" customWidth="1"/>
    <col min="13" max="13" width="15" style="2513" customWidth="1"/>
    <col min="14" max="14" width="3" style="2513" customWidth="1"/>
    <col min="15" max="15" width="4" style="2513" customWidth="1"/>
    <col min="16" max="16" width="8" style="2513" customWidth="1"/>
    <col min="17" max="17" width="21" style="2513" customWidth="1"/>
    <col min="18" max="18" width="14" style="2513" customWidth="1"/>
    <col min="19" max="20" width="17" style="2513" customWidth="1"/>
    <col min="21" max="21" width="9" style="2513" customWidth="1"/>
    <col min="22" max="22" width="12" style="2513" customWidth="1"/>
    <col min="23" max="23" width="9" style="2513" customWidth="1"/>
    <col min="24" max="24" width="21" style="2513" customWidth="1"/>
    <col min="25" max="25" width="12" style="2513" customWidth="1"/>
    <col min="26" max="26" width="3" style="2513" customWidth="1"/>
    <col min="27" max="27" width="6" style="2513" customWidth="1"/>
    <col min="28" max="28" width="38" style="2513" customWidth="1"/>
    <col min="29" max="29" width="15" style="2513" customWidth="1"/>
    <col min="30" max="30" width="37.5703125" style="2513" hidden="1" customWidth="1"/>
    <col min="31" max="31" width="15.7109375" style="2513" hidden="1" customWidth="1"/>
    <col min="32" max="34" width="16" style="2513" customWidth="1"/>
    <col min="35" max="37" width="16.7109375" style="2513" hidden="1" customWidth="1"/>
    <col min="38" max="58" width="8" style="2513" customWidth="1"/>
    <col min="59" max="59" width="9.140625" style="2513" hidden="1"/>
  </cols>
  <sheetData>
    <row r="1" spans="1:59" s="2519" customFormat="1" ht="10.5" hidden="1" customHeight="1">
      <c r="A1" s="819"/>
      <c r="B1" s="819"/>
      <c r="C1" s="819"/>
      <c r="E1" s="472"/>
      <c r="H1" s="1078"/>
      <c r="L1" s="1046"/>
      <c r="M1" s="1046"/>
      <c r="AD1" s="1046"/>
      <c r="AH1" s="1065"/>
      <c r="AI1" s="1058"/>
      <c r="BG1" s="352" t="s">
        <v>14</v>
      </c>
    </row>
    <row r="2" spans="1:59" ht="10.5" hidden="1" customHeight="1">
      <c r="BG2" s="691">
        <v>0</v>
      </c>
    </row>
    <row r="3" spans="1:59" s="2511"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74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49"/>
      <c r="H5" s="2749"/>
      <c r="I5" s="2749"/>
      <c r="J5" s="2749"/>
      <c r="K5" s="2749"/>
      <c r="L5" s="1053"/>
      <c r="M5" s="1053"/>
      <c r="AG5" s="830"/>
      <c r="AH5" s="1066"/>
      <c r="BG5" s="691">
        <v>26</v>
      </c>
    </row>
    <row r="6" spans="1:59" ht="10.5" customHeight="1">
      <c r="F6" s="2696" t="str">
        <f>IF(org=0,"Не определено",org)</f>
        <v>ООО "Ноябрьская ПГЭ"</v>
      </c>
      <c r="G6" s="2696"/>
      <c r="H6" s="2696"/>
      <c r="I6" s="2696"/>
      <c r="J6" s="2696"/>
      <c r="K6" s="2696"/>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885" t="s">
        <v>302</v>
      </c>
      <c r="G8" s="2886"/>
      <c r="H8" s="2886"/>
      <c r="I8" s="2886"/>
      <c r="J8" s="2886"/>
      <c r="K8" s="2886"/>
      <c r="L8" s="2886"/>
      <c r="M8" s="2886"/>
      <c r="N8" s="2886"/>
      <c r="O8" s="2886"/>
      <c r="P8" s="2886"/>
      <c r="Q8" s="2886"/>
      <c r="R8" s="2886"/>
      <c r="S8" s="2886"/>
      <c r="T8" s="2886"/>
      <c r="U8" s="2886"/>
      <c r="V8" s="2886"/>
      <c r="W8" s="2886"/>
      <c r="X8" s="2886"/>
      <c r="Y8" s="2886"/>
      <c r="Z8" s="2886"/>
      <c r="AA8" s="2886"/>
      <c r="AB8" s="2886"/>
      <c r="AC8" s="2886"/>
      <c r="AD8" s="2886"/>
      <c r="AE8" s="2886"/>
      <c r="AF8" s="2886"/>
      <c r="AG8" s="2886"/>
      <c r="AH8" s="2886"/>
      <c r="AI8" s="2886"/>
      <c r="AJ8" s="2886"/>
      <c r="AK8" s="2887"/>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724" t="s">
        <v>987</v>
      </c>
      <c r="G9" s="2819" t="s">
        <v>988</v>
      </c>
      <c r="H9" s="2867"/>
      <c r="I9" s="2638" t="s">
        <v>989</v>
      </c>
      <c r="J9" s="2638"/>
      <c r="K9" s="2638" t="s">
        <v>990</v>
      </c>
      <c r="L9" s="2638"/>
      <c r="M9" s="2638"/>
      <c r="N9" s="2638"/>
      <c r="O9" s="2638"/>
      <c r="P9" s="2638"/>
      <c r="Q9" s="2638"/>
      <c r="R9" s="2638"/>
      <c r="S9" s="2638"/>
      <c r="T9" s="2638"/>
      <c r="U9" s="2638"/>
      <c r="V9" s="2638"/>
      <c r="W9" s="2638"/>
      <c r="X9" s="2638"/>
      <c r="Y9" s="2638"/>
      <c r="Z9" s="2710" t="s">
        <v>991</v>
      </c>
      <c r="AA9" s="2711"/>
      <c r="AB9" s="2638" t="s">
        <v>992</v>
      </c>
      <c r="AC9" s="2638"/>
      <c r="AD9" s="2638"/>
      <c r="AE9" s="2638"/>
      <c r="AF9" s="2695" t="s">
        <v>993</v>
      </c>
      <c r="AG9" s="2638" t="s">
        <v>994</v>
      </c>
      <c r="AH9" s="2638"/>
      <c r="AI9" s="2695" t="s">
        <v>995</v>
      </c>
      <c r="AJ9" s="2638" t="s">
        <v>996</v>
      </c>
      <c r="AK9" s="2638"/>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724"/>
      <c r="G10" s="2820"/>
      <c r="H10" s="2728"/>
      <c r="I10" s="2638"/>
      <c r="J10" s="2638"/>
      <c r="K10" s="2638" t="s">
        <v>997</v>
      </c>
      <c r="L10" s="2610" t="s">
        <v>998</v>
      </c>
      <c r="M10" s="2609"/>
      <c r="N10" s="2638" t="s">
        <v>999</v>
      </c>
      <c r="O10" s="2638"/>
      <c r="P10" s="2638"/>
      <c r="Q10" s="2638"/>
      <c r="R10" s="2638"/>
      <c r="S10" s="2638"/>
      <c r="T10" s="2638"/>
      <c r="U10" s="2638"/>
      <c r="V10" s="2638"/>
      <c r="W10" s="2638"/>
      <c r="X10" s="2638"/>
      <c r="Y10" s="2638"/>
      <c r="Z10" s="2712"/>
      <c r="AA10" s="2713"/>
      <c r="AB10" s="2638"/>
      <c r="AC10" s="2638"/>
      <c r="AD10" s="2638"/>
      <c r="AE10" s="2638"/>
      <c r="AF10" s="2714"/>
      <c r="AG10" s="2638"/>
      <c r="AH10" s="2638"/>
      <c r="AI10" s="2714"/>
      <c r="AJ10" s="2638"/>
      <c r="AK10" s="2638"/>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513" customFormat="1" ht="25.15" customHeight="1">
      <c r="A11" s="1047"/>
      <c r="B11" s="1047"/>
      <c r="C11" s="1047"/>
      <c r="D11" s="1046"/>
      <c r="E11" s="1048"/>
      <c r="F11" s="2724"/>
      <c r="G11" s="2820"/>
      <c r="H11" s="2728"/>
      <c r="I11" s="2638"/>
      <c r="J11" s="2638"/>
      <c r="K11" s="2638"/>
      <c r="L11" s="2695" t="s">
        <v>1000</v>
      </c>
      <c r="M11" s="2695" t="s">
        <v>1001</v>
      </c>
      <c r="N11" s="2638" t="s">
        <v>1002</v>
      </c>
      <c r="O11" s="2638"/>
      <c r="P11" s="2672" t="s">
        <v>983</v>
      </c>
      <c r="Q11" s="2672" t="s">
        <v>1003</v>
      </c>
      <c r="R11" s="2672" t="s">
        <v>1004</v>
      </c>
      <c r="S11" s="2672" t="s">
        <v>1005</v>
      </c>
      <c r="T11" s="2672"/>
      <c r="U11" s="2672"/>
      <c r="V11" s="2672"/>
      <c r="W11" s="2672"/>
      <c r="X11" s="2672"/>
      <c r="Y11" s="2672"/>
      <c r="Z11" s="2712"/>
      <c r="AA11" s="2713"/>
      <c r="AB11" s="2638" t="s">
        <v>1006</v>
      </c>
      <c r="AC11" s="2638"/>
      <c r="AD11" s="2610" t="s">
        <v>1007</v>
      </c>
      <c r="AE11" s="2609"/>
      <c r="AF11" s="2714"/>
      <c r="AG11" s="2638"/>
      <c r="AH11" s="2638"/>
      <c r="AI11" s="2714"/>
      <c r="AJ11" s="2638"/>
      <c r="AK11" s="2638"/>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724"/>
      <c r="G12" s="2821"/>
      <c r="H12" s="2884"/>
      <c r="I12" s="1071" t="s">
        <v>88</v>
      </c>
      <c r="J12" s="1071" t="s">
        <v>1008</v>
      </c>
      <c r="K12" s="2638"/>
      <c r="L12" s="2744"/>
      <c r="M12" s="2744"/>
      <c r="N12" s="2638"/>
      <c r="O12" s="2638"/>
      <c r="P12" s="2672"/>
      <c r="Q12" s="2672"/>
      <c r="R12" s="2672"/>
      <c r="S12" s="1052" t="s">
        <v>85</v>
      </c>
      <c r="T12" s="1052" t="s">
        <v>86</v>
      </c>
      <c r="U12" s="1052" t="s">
        <v>84</v>
      </c>
      <c r="V12" s="1052" t="s">
        <v>1009</v>
      </c>
      <c r="W12" s="1052" t="s">
        <v>84</v>
      </c>
      <c r="X12" s="1052" t="s">
        <v>1010</v>
      </c>
      <c r="Y12" s="1052" t="s">
        <v>1011</v>
      </c>
      <c r="Z12" s="2715"/>
      <c r="AA12" s="2716"/>
      <c r="AB12" s="1059" t="s">
        <v>1012</v>
      </c>
      <c r="AC12" s="1059" t="s">
        <v>1013</v>
      </c>
      <c r="AD12" s="1059" t="s">
        <v>1012</v>
      </c>
      <c r="AE12" s="1059" t="s">
        <v>1013</v>
      </c>
      <c r="AF12" s="2744"/>
      <c r="AG12" s="1072" t="s">
        <v>1014</v>
      </c>
      <c r="AH12" s="1072" t="s">
        <v>1015</v>
      </c>
      <c r="AI12" s="2744"/>
      <c r="AJ12" s="1072" t="s">
        <v>1014</v>
      </c>
      <c r="AK12" s="1072" t="s">
        <v>1015</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1016</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883"/>
      <c r="G17" s="2883"/>
      <c r="H17" s="2883"/>
      <c r="I17" s="2883"/>
      <c r="J17" s="2883"/>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883"/>
      <c r="G18" s="2883"/>
      <c r="H18" s="2883"/>
      <c r="I18" s="2883"/>
      <c r="J18" s="2883"/>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883"/>
      <c r="G19" s="2883"/>
      <c r="H19" s="2883"/>
      <c r="I19" s="2883"/>
      <c r="J19" s="2883"/>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81</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557" hidden="1" customWidth="1"/>
    <col min="4" max="4" width="4.140625" style="2519" hidden="1" customWidth="1"/>
    <col min="5" max="5" width="3" style="2513" customWidth="1"/>
    <col min="6" max="6" width="6" style="2513" customWidth="1"/>
    <col min="7" max="7" width="60" style="2513" customWidth="1"/>
    <col min="8" max="9" width="21.7109375" style="2513" hidden="1" customWidth="1"/>
    <col min="10" max="10" width="0.140625" style="2513" customWidth="1"/>
    <col min="11" max="11" width="1" style="2513" customWidth="1"/>
    <col min="12" max="22" width="8" style="2513" customWidth="1"/>
    <col min="23" max="23" width="9.140625" style="2513" hidden="1"/>
  </cols>
  <sheetData>
    <row r="1" spans="1:23" s="2519" customFormat="1" ht="10.5" hidden="1" customHeight="1">
      <c r="A1" s="1084"/>
      <c r="B1" s="1084"/>
      <c r="C1" s="1084"/>
      <c r="E1" s="472"/>
      <c r="W1" s="1078" t="s">
        <v>14</v>
      </c>
    </row>
    <row r="2" spans="1:23" ht="10.5" hidden="1" customHeight="1">
      <c r="W2" s="1073">
        <v>0</v>
      </c>
    </row>
    <row r="3" spans="1:23" s="2511" customFormat="1" ht="10.5" hidden="1" customHeight="1">
      <c r="A3" s="1084"/>
      <c r="B3" s="1084"/>
      <c r="C3" s="1084"/>
      <c r="D3" s="1078"/>
      <c r="E3" s="297"/>
      <c r="W3" s="1074">
        <v>0</v>
      </c>
    </row>
    <row r="4" spans="1:23" ht="3" customHeight="1">
      <c r="W4" s="1073">
        <v>3</v>
      </c>
    </row>
    <row r="5" spans="1:23" ht="27.4" customHeight="1">
      <c r="F5" s="274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749"/>
      <c r="H5" s="2749"/>
      <c r="I5" s="2749"/>
      <c r="J5" s="2749"/>
      <c r="W5" s="1073">
        <v>26</v>
      </c>
    </row>
    <row r="6" spans="1:23" ht="10.5" customHeight="1">
      <c r="F6" s="2696" t="str">
        <f>IF(org=0,"Не определено",org)</f>
        <v>ООО "Ноябрьская ПГЭ"</v>
      </c>
      <c r="G6" s="2696"/>
      <c r="H6" s="2696"/>
      <c r="I6" s="2696"/>
      <c r="J6" s="2696"/>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520"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888" t="s">
        <v>302</v>
      </c>
      <c r="G9" s="2889"/>
      <c r="H9" s="2889"/>
      <c r="I9" s="2889"/>
      <c r="J9" s="2889"/>
      <c r="K9" s="1158"/>
      <c r="L9" s="1075"/>
      <c r="M9" s="1075"/>
      <c r="N9" s="1075"/>
      <c r="O9" s="1075"/>
      <c r="P9" s="1075"/>
      <c r="Q9" s="1075"/>
      <c r="R9" s="1075"/>
      <c r="S9" s="1075"/>
      <c r="T9" s="1075"/>
      <c r="U9" s="1075"/>
      <c r="V9" s="1075"/>
      <c r="W9" s="1073">
        <v>10</v>
      </c>
    </row>
    <row r="10" spans="1:23" ht="25.15" customHeight="1">
      <c r="E10" s="1075"/>
      <c r="F10" s="2892" t="s">
        <v>87</v>
      </c>
      <c r="G10" s="2896" t="s">
        <v>1017</v>
      </c>
      <c r="H10" s="2878" t="s">
        <v>1018</v>
      </c>
      <c r="I10" s="2878"/>
      <c r="J10" s="2878"/>
      <c r="K10" s="1151"/>
      <c r="L10" s="1075"/>
      <c r="M10" s="1075"/>
      <c r="N10" s="1075"/>
      <c r="O10" s="1075"/>
      <c r="P10" s="1075"/>
      <c r="Q10" s="1075"/>
      <c r="R10" s="1075"/>
      <c r="S10" s="1075"/>
      <c r="T10" s="1075"/>
      <c r="U10" s="1075"/>
      <c r="V10" s="1075"/>
      <c r="W10" s="1073">
        <v>24</v>
      </c>
    </row>
    <row r="11" spans="1:23" ht="25.5" customHeight="1">
      <c r="E11" s="1075"/>
      <c r="F11" s="2893"/>
      <c r="G11" s="2896"/>
      <c r="H11" s="2895" t="e">
        <f>INDEX(IP_MAIN_LIST_NAME_IP,MATCH(H8,IP_MAIN_LIST_IP_ID,0))&amp;" ("&amp;INDEX(IP_MAIN_START_DATE,MATCH(H8,IP_MAIN_LIST_IP_ID,0))&amp;"-"&amp;INDEX(IP_MAIN_END_DATE,MATCH(H8,IP_MAIN_LIST_IP_ID,0))&amp;")"</f>
        <v>#N/A</v>
      </c>
      <c r="I11" s="2895"/>
      <c r="J11" s="2895"/>
      <c r="K11" s="1151"/>
      <c r="L11" s="1075"/>
      <c r="M11" s="1075"/>
      <c r="N11" s="1075"/>
      <c r="O11" s="1075"/>
      <c r="P11" s="1075"/>
      <c r="Q11" s="1075"/>
      <c r="R11" s="1075"/>
      <c r="S11" s="1075"/>
      <c r="T11" s="1075"/>
      <c r="U11" s="1075"/>
      <c r="V11" s="1075"/>
      <c r="W11" s="1073">
        <v>24</v>
      </c>
    </row>
    <row r="12" spans="1:23" ht="10.5" customHeight="1">
      <c r="F12" s="2894"/>
      <c r="G12" s="2896"/>
      <c r="H12" s="1144" t="s">
        <v>1019</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1020</v>
      </c>
      <c r="G14" s="2890" t="s">
        <v>1021</v>
      </c>
      <c r="H14" s="2890"/>
      <c r="I14" s="2890"/>
      <c r="J14" s="2890"/>
      <c r="K14" s="1152"/>
      <c r="W14" s="1073">
        <v>11</v>
      </c>
    </row>
    <row r="15" spans="1:23" ht="11.45" customHeight="1">
      <c r="F15" s="1148">
        <v>1</v>
      </c>
      <c r="G15" s="625" t="s">
        <v>1022</v>
      </c>
      <c r="H15" s="1154">
        <f t="shared" ref="H15:H36" si="0">SUM(I15:J15)</f>
        <v>0</v>
      </c>
      <c r="I15" s="1154">
        <f>SUM(I16:I27)</f>
        <v>0</v>
      </c>
      <c r="J15" s="1143"/>
      <c r="K15" s="1152"/>
      <c r="W15" s="1073">
        <v>11</v>
      </c>
    </row>
    <row r="16" spans="1:23" ht="24" customHeight="1">
      <c r="F16" s="1148" t="s">
        <v>1023</v>
      </c>
      <c r="G16" s="1155" t="s">
        <v>1024</v>
      </c>
      <c r="H16" s="1154">
        <f t="shared" si="0"/>
        <v>0</v>
      </c>
      <c r="I16" s="1153"/>
      <c r="J16" s="1143"/>
      <c r="K16" s="1152"/>
      <c r="W16" s="1073">
        <v>23</v>
      </c>
    </row>
    <row r="17" spans="6:23" ht="24" customHeight="1">
      <c r="F17" s="1148" t="s">
        <v>1025</v>
      </c>
      <c r="G17" s="1155" t="s">
        <v>1026</v>
      </c>
      <c r="H17" s="1154">
        <f t="shared" si="0"/>
        <v>0</v>
      </c>
      <c r="I17" s="1153"/>
      <c r="J17" s="1143"/>
      <c r="K17" s="1152"/>
      <c r="W17" s="1073">
        <v>23</v>
      </c>
    </row>
    <row r="18" spans="6:23" ht="35.65" customHeight="1">
      <c r="F18" s="1148" t="s">
        <v>1027</v>
      </c>
      <c r="G18" s="1155" t="s">
        <v>1028</v>
      </c>
      <c r="H18" s="1154">
        <f t="shared" si="0"/>
        <v>0</v>
      </c>
      <c r="I18" s="1153"/>
      <c r="J18" s="1143"/>
      <c r="K18" s="1152"/>
      <c r="W18" s="1073">
        <v>34</v>
      </c>
    </row>
    <row r="19" spans="6:23" ht="35.65" customHeight="1">
      <c r="F19" s="1148" t="s">
        <v>1029</v>
      </c>
      <c r="G19" s="1155" t="s">
        <v>1030</v>
      </c>
      <c r="H19" s="1154">
        <f t="shared" si="0"/>
        <v>0</v>
      </c>
      <c r="I19" s="1153"/>
      <c r="J19" s="1143"/>
      <c r="K19" s="1152"/>
      <c r="W19" s="1073">
        <v>34</v>
      </c>
    </row>
    <row r="20" spans="6:23" ht="48.2" customHeight="1">
      <c r="F20" s="1148" t="s">
        <v>1031</v>
      </c>
      <c r="G20" s="1155" t="s">
        <v>1032</v>
      </c>
      <c r="H20" s="1154">
        <f t="shared" si="0"/>
        <v>0</v>
      </c>
      <c r="I20" s="1153"/>
      <c r="J20" s="1143"/>
      <c r="K20" s="1152"/>
      <c r="W20" s="1073">
        <v>46</v>
      </c>
    </row>
    <row r="21" spans="6:23" ht="35.65" customHeight="1">
      <c r="F21" s="1148" t="s">
        <v>1033</v>
      </c>
      <c r="G21" s="1155" t="s">
        <v>1034</v>
      </c>
      <c r="H21" s="1154">
        <f t="shared" si="0"/>
        <v>0</v>
      </c>
      <c r="I21" s="1153"/>
      <c r="J21" s="1143"/>
      <c r="K21" s="1152"/>
      <c r="W21" s="1073">
        <v>34</v>
      </c>
    </row>
    <row r="22" spans="6:23" ht="35.65" customHeight="1">
      <c r="F22" s="1148" t="s">
        <v>1035</v>
      </c>
      <c r="G22" s="1155" t="s">
        <v>1036</v>
      </c>
      <c r="H22" s="1154">
        <f t="shared" si="0"/>
        <v>0</v>
      </c>
      <c r="I22" s="1153"/>
      <c r="J22" s="1143"/>
      <c r="K22" s="1152"/>
      <c r="W22" s="1073">
        <v>34</v>
      </c>
    </row>
    <row r="23" spans="6:23" ht="24" customHeight="1">
      <c r="F23" s="1148" t="s">
        <v>1037</v>
      </c>
      <c r="G23" s="1155" t="s">
        <v>1038</v>
      </c>
      <c r="H23" s="1154">
        <f t="shared" si="0"/>
        <v>0</v>
      </c>
      <c r="I23" s="1153"/>
      <c r="J23" s="1143"/>
      <c r="K23" s="1152"/>
      <c r="W23" s="1073">
        <v>23</v>
      </c>
    </row>
    <row r="24" spans="6:23" ht="24" customHeight="1">
      <c r="F24" s="1148" t="s">
        <v>1039</v>
      </c>
      <c r="G24" s="1155" t="s">
        <v>1040</v>
      </c>
      <c r="H24" s="1154">
        <f t="shared" si="0"/>
        <v>0</v>
      </c>
      <c r="I24" s="1153"/>
      <c r="J24" s="1143"/>
      <c r="K24" s="1152"/>
      <c r="W24" s="1073">
        <v>23</v>
      </c>
    </row>
    <row r="25" spans="6:23" ht="35.65" customHeight="1">
      <c r="F25" s="1148" t="s">
        <v>1041</v>
      </c>
      <c r="G25" s="1155" t="s">
        <v>1042</v>
      </c>
      <c r="H25" s="1154">
        <f t="shared" si="0"/>
        <v>0</v>
      </c>
      <c r="I25" s="1153"/>
      <c r="J25" s="1143"/>
      <c r="K25" s="1152"/>
      <c r="W25" s="1073">
        <v>34</v>
      </c>
    </row>
    <row r="26" spans="6:23" ht="35.65" customHeight="1">
      <c r="F26" s="1148" t="s">
        <v>1043</v>
      </c>
      <c r="G26" s="1155" t="s">
        <v>1044</v>
      </c>
      <c r="H26" s="1154">
        <f t="shared" si="0"/>
        <v>0</v>
      </c>
      <c r="I26" s="1153"/>
      <c r="J26" s="1143"/>
      <c r="K26" s="1152"/>
      <c r="W26" s="1073">
        <v>34</v>
      </c>
    </row>
    <row r="27" spans="6:23" ht="11.45" customHeight="1">
      <c r="F27" s="1148" t="s">
        <v>1045</v>
      </c>
      <c r="G27" s="1155" t="s">
        <v>1046</v>
      </c>
      <c r="H27" s="1154">
        <f t="shared" si="0"/>
        <v>0</v>
      </c>
      <c r="I27" s="1153"/>
      <c r="J27" s="1143"/>
      <c r="K27" s="1152"/>
      <c r="W27" s="1073">
        <v>11</v>
      </c>
    </row>
    <row r="28" spans="6:23" ht="11.45" customHeight="1">
      <c r="F28" s="1148">
        <v>2</v>
      </c>
      <c r="G28" s="625" t="s">
        <v>1047</v>
      </c>
      <c r="H28" s="1154">
        <f t="shared" si="0"/>
        <v>0</v>
      </c>
      <c r="I28" s="1154">
        <f>SUM(I29:I31)</f>
        <v>0</v>
      </c>
      <c r="J28" s="1143"/>
      <c r="K28" s="1152"/>
      <c r="W28" s="1073">
        <v>11</v>
      </c>
    </row>
    <row r="29" spans="6:23" ht="11.45" customHeight="1">
      <c r="F29" s="1148" t="s">
        <v>710</v>
      </c>
      <c r="G29" s="1155" t="s">
        <v>1048</v>
      </c>
      <c r="H29" s="1154">
        <f t="shared" si="0"/>
        <v>0</v>
      </c>
      <c r="I29" s="1153"/>
      <c r="J29" s="1143"/>
      <c r="K29" s="1152"/>
      <c r="W29" s="1073">
        <v>11</v>
      </c>
    </row>
    <row r="30" spans="6:23" ht="11.45" customHeight="1">
      <c r="F30" s="1148" t="s">
        <v>309</v>
      </c>
      <c r="G30" s="1155" t="s">
        <v>1049</v>
      </c>
      <c r="H30" s="1154">
        <f t="shared" si="0"/>
        <v>0</v>
      </c>
      <c r="I30" s="1153"/>
      <c r="J30" s="1143"/>
      <c r="K30" s="1152"/>
      <c r="W30" s="1073">
        <v>11</v>
      </c>
    </row>
    <row r="31" spans="6:23" ht="11.45" customHeight="1">
      <c r="F31" s="1148" t="s">
        <v>312</v>
      </c>
      <c r="G31" s="1155" t="s">
        <v>1050</v>
      </c>
      <c r="H31" s="1154">
        <f t="shared" si="0"/>
        <v>0</v>
      </c>
      <c r="I31" s="1153"/>
      <c r="J31" s="1143"/>
      <c r="K31" s="1152"/>
      <c r="W31" s="1073">
        <v>11</v>
      </c>
    </row>
    <row r="32" spans="6:23" ht="11.45" customHeight="1">
      <c r="F32" s="1148">
        <v>3</v>
      </c>
      <c r="G32" s="625" t="s">
        <v>1051</v>
      </c>
      <c r="H32" s="1154">
        <f t="shared" si="0"/>
        <v>0</v>
      </c>
      <c r="I32" s="1154">
        <f>SUM(I33:I34)</f>
        <v>0</v>
      </c>
      <c r="J32" s="1143"/>
      <c r="K32" s="1152"/>
      <c r="W32" s="1073">
        <v>11</v>
      </c>
    </row>
    <row r="33" spans="6:23" ht="48.2" customHeight="1">
      <c r="F33" s="1148" t="s">
        <v>326</v>
      </c>
      <c r="G33" s="1155" t="s">
        <v>1052</v>
      </c>
      <c r="H33" s="1154">
        <f t="shared" si="0"/>
        <v>0</v>
      </c>
      <c r="I33" s="1153"/>
      <c r="J33" s="1143"/>
      <c r="K33" s="1152"/>
      <c r="W33" s="1073">
        <v>46</v>
      </c>
    </row>
    <row r="34" spans="6:23" ht="11.45" customHeight="1">
      <c r="F34" s="1148" t="s">
        <v>334</v>
      </c>
      <c r="G34" s="1155" t="s">
        <v>1053</v>
      </c>
      <c r="H34" s="1154">
        <f t="shared" si="0"/>
        <v>0</v>
      </c>
      <c r="I34" s="1153"/>
      <c r="J34" s="1143"/>
      <c r="K34" s="1152"/>
      <c r="W34" s="1073">
        <v>11</v>
      </c>
    </row>
    <row r="35" spans="6:23" ht="11.45" customHeight="1">
      <c r="F35" s="1148">
        <v>4</v>
      </c>
      <c r="G35" s="625" t="s">
        <v>1054</v>
      </c>
      <c r="H35" s="1154">
        <f t="shared" si="0"/>
        <v>0</v>
      </c>
      <c r="I35" s="1153"/>
      <c r="J35" s="1143"/>
      <c r="K35" s="1152"/>
      <c r="W35" s="1073">
        <v>11</v>
      </c>
    </row>
    <row r="36" spans="6:23" ht="11.45" customHeight="1">
      <c r="F36" s="1148"/>
      <c r="G36" s="628" t="s">
        <v>1055</v>
      </c>
      <c r="H36" s="1154">
        <f t="shared" si="0"/>
        <v>0</v>
      </c>
      <c r="I36" s="1154">
        <f>SUM(I15,I28,I32,I35)</f>
        <v>0</v>
      </c>
      <c r="J36" s="1143"/>
      <c r="K36" s="1152"/>
      <c r="W36" s="1073">
        <v>11</v>
      </c>
    </row>
    <row r="37" spans="6:23" ht="29.25" customHeight="1">
      <c r="F37" s="1149" t="s">
        <v>1056</v>
      </c>
      <c r="G37" s="2891" t="s">
        <v>1057</v>
      </c>
      <c r="H37" s="2891"/>
      <c r="I37" s="2891"/>
      <c r="J37" s="2891"/>
      <c r="K37" s="1152"/>
      <c r="W37" s="1073">
        <v>28</v>
      </c>
    </row>
    <row r="38" spans="6:23" ht="24" customHeight="1">
      <c r="F38" s="1148" t="s">
        <v>108</v>
      </c>
      <c r="G38" s="625" t="s">
        <v>1058</v>
      </c>
      <c r="H38" s="1154">
        <f t="shared" ref="H38:H58" si="1">SUM(I38:J38)</f>
        <v>0</v>
      </c>
      <c r="I38" s="1154">
        <f>SUM(I39,I44,I47)</f>
        <v>0</v>
      </c>
      <c r="J38" s="1143"/>
      <c r="K38" s="1152"/>
      <c r="W38" s="1073">
        <v>23</v>
      </c>
    </row>
    <row r="39" spans="6:23" ht="11.45" customHeight="1">
      <c r="F39" s="1148" t="s">
        <v>1023</v>
      </c>
      <c r="G39" s="1155" t="s">
        <v>1022</v>
      </c>
      <c r="H39" s="1154">
        <f t="shared" si="1"/>
        <v>0</v>
      </c>
      <c r="I39" s="1154">
        <f>SUM(I40:I43)</f>
        <v>0</v>
      </c>
      <c r="J39" s="1143"/>
      <c r="K39" s="1152"/>
      <c r="W39" s="1073">
        <v>11</v>
      </c>
    </row>
    <row r="40" spans="6:23" ht="24" customHeight="1">
      <c r="F40" s="1148" t="s">
        <v>1059</v>
      </c>
      <c r="G40" s="1156" t="s">
        <v>1060</v>
      </c>
      <c r="H40" s="1154">
        <f t="shared" si="1"/>
        <v>0</v>
      </c>
      <c r="I40" s="1153"/>
      <c r="J40" s="1143"/>
      <c r="K40" s="1152"/>
      <c r="W40" s="1073">
        <v>23</v>
      </c>
    </row>
    <row r="41" spans="6:23" ht="11.45" customHeight="1">
      <c r="F41" s="1148" t="s">
        <v>1061</v>
      </c>
      <c r="G41" s="1156" t="s">
        <v>1062</v>
      </c>
      <c r="H41" s="1154">
        <f t="shared" si="1"/>
        <v>0</v>
      </c>
      <c r="I41" s="1153"/>
      <c r="J41" s="1143"/>
      <c r="K41" s="1152"/>
      <c r="W41" s="1073">
        <v>11</v>
      </c>
    </row>
    <row r="42" spans="6:23" ht="11.45" customHeight="1">
      <c r="F42" s="1148" t="s">
        <v>1063</v>
      </c>
      <c r="G42" s="1156" t="s">
        <v>1064</v>
      </c>
      <c r="H42" s="1154">
        <f t="shared" si="1"/>
        <v>0</v>
      </c>
      <c r="I42" s="1153"/>
      <c r="J42" s="1143"/>
      <c r="K42" s="1152"/>
      <c r="W42" s="1073">
        <v>11</v>
      </c>
    </row>
    <row r="43" spans="6:23" ht="35.65" customHeight="1">
      <c r="F43" s="1148" t="s">
        <v>1065</v>
      </c>
      <c r="G43" s="1156" t="s">
        <v>1066</v>
      </c>
      <c r="H43" s="1154">
        <f t="shared" si="1"/>
        <v>0</v>
      </c>
      <c r="I43" s="1153"/>
      <c r="J43" s="1143"/>
      <c r="K43" s="1152"/>
      <c r="W43" s="1073">
        <v>34</v>
      </c>
    </row>
    <row r="44" spans="6:23" ht="11.45" customHeight="1">
      <c r="F44" s="1148" t="s">
        <v>1025</v>
      </c>
      <c r="G44" s="1155" t="s">
        <v>1051</v>
      </c>
      <c r="H44" s="1154">
        <f t="shared" si="1"/>
        <v>0</v>
      </c>
      <c r="I44" s="1154">
        <f>SUM(I45:I46)</f>
        <v>0</v>
      </c>
      <c r="J44" s="1143"/>
      <c r="K44" s="1152"/>
      <c r="W44" s="1073">
        <v>11</v>
      </c>
    </row>
    <row r="45" spans="6:23" ht="48.2" customHeight="1">
      <c r="F45" s="1148" t="s">
        <v>1067</v>
      </c>
      <c r="G45" s="1156" t="s">
        <v>1052</v>
      </c>
      <c r="H45" s="1154">
        <f t="shared" si="1"/>
        <v>0</v>
      </c>
      <c r="I45" s="1153"/>
      <c r="J45" s="1143"/>
      <c r="K45" s="1152"/>
      <c r="W45" s="1073">
        <v>46</v>
      </c>
    </row>
    <row r="46" spans="6:23" ht="11.45" customHeight="1">
      <c r="F46" s="1148" t="s">
        <v>1068</v>
      </c>
      <c r="G46" s="1156" t="s">
        <v>1053</v>
      </c>
      <c r="H46" s="1154">
        <f t="shared" si="1"/>
        <v>0</v>
      </c>
      <c r="I46" s="1153"/>
      <c r="J46" s="1143"/>
      <c r="K46" s="1152"/>
      <c r="W46" s="1073">
        <v>11</v>
      </c>
    </row>
    <row r="47" spans="6:23" ht="11.45" customHeight="1">
      <c r="F47" s="1148" t="s">
        <v>1027</v>
      </c>
      <c r="G47" s="1155" t="s">
        <v>1069</v>
      </c>
      <c r="H47" s="1154">
        <f t="shared" si="1"/>
        <v>0</v>
      </c>
      <c r="I47" s="1153"/>
      <c r="J47" s="1143"/>
      <c r="K47" s="1152"/>
      <c r="W47" s="1073">
        <v>11</v>
      </c>
    </row>
    <row r="48" spans="6:23" ht="24" customHeight="1">
      <c r="F48" s="1148" t="s">
        <v>109</v>
      </c>
      <c r="G48" s="625" t="s">
        <v>1070</v>
      </c>
      <c r="H48" s="1154">
        <f t="shared" si="1"/>
        <v>0</v>
      </c>
      <c r="I48" s="1154">
        <f>SUM(I49,I54,I57)</f>
        <v>0</v>
      </c>
      <c r="J48" s="1143"/>
      <c r="K48" s="1152"/>
      <c r="W48" s="1073">
        <v>23</v>
      </c>
    </row>
    <row r="49" spans="1:23" ht="11.45" customHeight="1">
      <c r="F49" s="1148" t="s">
        <v>710</v>
      </c>
      <c r="G49" s="1155" t="s">
        <v>1022</v>
      </c>
      <c r="H49" s="1154">
        <f t="shared" si="1"/>
        <v>0</v>
      </c>
      <c r="I49" s="1154">
        <f>SUM(I50:I53)</f>
        <v>0</v>
      </c>
      <c r="J49" s="1143"/>
      <c r="K49" s="1152"/>
      <c r="W49" s="1073">
        <v>11</v>
      </c>
    </row>
    <row r="50" spans="1:23" ht="24" customHeight="1">
      <c r="F50" s="1148" t="s">
        <v>713</v>
      </c>
      <c r="G50" s="1156" t="s">
        <v>1060</v>
      </c>
      <c r="H50" s="1154">
        <f t="shared" si="1"/>
        <v>0</v>
      </c>
      <c r="I50" s="1153"/>
      <c r="J50" s="1143"/>
      <c r="K50" s="1152"/>
      <c r="W50" s="1073">
        <v>23</v>
      </c>
    </row>
    <row r="51" spans="1:23" ht="11.45" customHeight="1">
      <c r="F51" s="1148" t="s">
        <v>716</v>
      </c>
      <c r="G51" s="1156" t="s">
        <v>1062</v>
      </c>
      <c r="H51" s="1154">
        <f t="shared" si="1"/>
        <v>0</v>
      </c>
      <c r="I51" s="1153"/>
      <c r="J51" s="1143"/>
      <c r="K51" s="1152"/>
      <c r="W51" s="1073">
        <v>11</v>
      </c>
    </row>
    <row r="52" spans="1:23" ht="11.45" customHeight="1">
      <c r="F52" s="1148" t="s">
        <v>1071</v>
      </c>
      <c r="G52" s="1156" t="s">
        <v>1064</v>
      </c>
      <c r="H52" s="1154">
        <f t="shared" si="1"/>
        <v>0</v>
      </c>
      <c r="I52" s="1153"/>
      <c r="J52" s="1143"/>
      <c r="K52" s="1152"/>
      <c r="W52" s="1073">
        <v>11</v>
      </c>
    </row>
    <row r="53" spans="1:23" ht="35.65" customHeight="1">
      <c r="F53" s="1148" t="s">
        <v>1072</v>
      </c>
      <c r="G53" s="1156" t="s">
        <v>1066</v>
      </c>
      <c r="H53" s="1154">
        <f t="shared" si="1"/>
        <v>0</v>
      </c>
      <c r="I53" s="1153"/>
      <c r="J53" s="1143"/>
      <c r="K53" s="1152"/>
      <c r="W53" s="1073">
        <v>34</v>
      </c>
    </row>
    <row r="54" spans="1:23" ht="11.45" customHeight="1">
      <c r="F54" s="1148" t="s">
        <v>309</v>
      </c>
      <c r="G54" s="1155" t="s">
        <v>1051</v>
      </c>
      <c r="H54" s="1154">
        <f t="shared" si="1"/>
        <v>0</v>
      </c>
      <c r="I54" s="1154">
        <f>SUM(I55:I56)</f>
        <v>0</v>
      </c>
      <c r="J54" s="1143"/>
      <c r="K54" s="1152"/>
      <c r="W54" s="1073">
        <v>11</v>
      </c>
    </row>
    <row r="55" spans="1:23" ht="48.2" customHeight="1">
      <c r="F55" s="1148" t="s">
        <v>720</v>
      </c>
      <c r="G55" s="1156" t="s">
        <v>1052</v>
      </c>
      <c r="H55" s="1154">
        <f t="shared" si="1"/>
        <v>0</v>
      </c>
      <c r="I55" s="1153"/>
      <c r="J55" s="1143"/>
      <c r="K55" s="1152"/>
      <c r="W55" s="1073">
        <v>46</v>
      </c>
    </row>
    <row r="56" spans="1:23" ht="11.45" customHeight="1">
      <c r="F56" s="1148" t="s">
        <v>722</v>
      </c>
      <c r="G56" s="1156" t="s">
        <v>1053</v>
      </c>
      <c r="H56" s="1154">
        <f t="shared" si="1"/>
        <v>0</v>
      </c>
      <c r="I56" s="1153"/>
      <c r="J56" s="1143"/>
      <c r="K56" s="1152"/>
      <c r="W56" s="1073">
        <v>11</v>
      </c>
    </row>
    <row r="57" spans="1:23" ht="11.45" customHeight="1">
      <c r="F57" s="1148" t="s">
        <v>312</v>
      </c>
      <c r="G57" s="1155" t="s">
        <v>1069</v>
      </c>
      <c r="H57" s="1154">
        <f t="shared" si="1"/>
        <v>0</v>
      </c>
      <c r="I57" s="1153"/>
      <c r="J57" s="1143"/>
      <c r="K57" s="1152"/>
      <c r="W57" s="1073">
        <v>11</v>
      </c>
    </row>
    <row r="58" spans="1:23" ht="11.45" customHeight="1">
      <c r="F58" s="1148"/>
      <c r="G58" s="1157" t="s">
        <v>1055</v>
      </c>
      <c r="H58" s="1154">
        <f t="shared" si="1"/>
        <v>0</v>
      </c>
      <c r="I58" s="1154">
        <f>SUM(I38,I48)</f>
        <v>0</v>
      </c>
      <c r="J58" s="1143"/>
      <c r="K58" s="1152"/>
      <c r="W58" s="1073">
        <v>11</v>
      </c>
    </row>
    <row r="59" spans="1:23" ht="10.5" hidden="1" customHeight="1">
      <c r="A59" s="1084" t="s">
        <v>81</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564" hidden="1" customWidth="1"/>
    <col min="2" max="2" width="4.7109375" style="2565" hidden="1" customWidth="1"/>
    <col min="3" max="4" width="4.7109375" style="2564" hidden="1" customWidth="1"/>
    <col min="5" max="5" width="3" style="2564" customWidth="1"/>
    <col min="6" max="6" width="6" style="2564" customWidth="1"/>
    <col min="7" max="7" width="18" style="2564" customWidth="1"/>
    <col min="8" max="8" width="27" style="2564" customWidth="1"/>
    <col min="9" max="9" width="18" style="2564" customWidth="1"/>
    <col min="10" max="14" width="0.85546875" style="2564" hidden="1" customWidth="1"/>
    <col min="15" max="28" width="21.7109375" style="2564" customWidth="1"/>
    <col min="29" max="71" width="0.85546875" style="2564" customWidth="1"/>
    <col min="72" max="79" width="21.7109375" style="2564" hidden="1" customWidth="1"/>
    <col min="80" max="81" width="29.140625" style="2564" hidden="1" customWidth="1"/>
    <col min="82" max="89" width="21.7109375" style="2564" hidden="1" customWidth="1"/>
    <col min="90" max="102" width="0.7109375" style="2564" hidden="1" customWidth="1"/>
    <col min="103" max="114" width="21.7109375" style="2564" hidden="1" customWidth="1"/>
    <col min="115" max="178" width="0.7109375" style="2564" hidden="1" customWidth="1"/>
    <col min="179" max="179" width="0.140625" style="2564" customWidth="1"/>
    <col min="180" max="184" width="8" style="2564" customWidth="1"/>
    <col min="185" max="185" width="9.140625" style="2564" hidden="1"/>
  </cols>
  <sheetData>
    <row r="1" spans="2:185" s="2560" customFormat="1" ht="12" hidden="1" customHeight="1">
      <c r="B1" s="847"/>
      <c r="C1" s="848"/>
      <c r="D1" s="848"/>
      <c r="GC1" s="846" t="s">
        <v>14</v>
      </c>
    </row>
    <row r="2" spans="2:185" s="2560"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560"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561" customFormat="1" ht="27.4" customHeight="1">
      <c r="B5" s="1787"/>
      <c r="E5" s="1789"/>
      <c r="F5" s="289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692"/>
      <c r="H5" s="2692"/>
      <c r="I5" s="2692"/>
      <c r="J5" s="2692"/>
      <c r="K5" s="2692"/>
      <c r="L5" s="2692"/>
      <c r="M5" s="2692"/>
      <c r="N5" s="2692"/>
      <c r="O5" s="2692"/>
      <c r="P5" s="2692"/>
      <c r="Q5" s="2692"/>
      <c r="R5" s="2692"/>
      <c r="S5" s="2692"/>
      <c r="T5" s="2692"/>
      <c r="U5" s="2692"/>
      <c r="V5" s="2692"/>
      <c r="W5" s="2692"/>
      <c r="X5" s="2692"/>
      <c r="Y5" s="2692"/>
      <c r="Z5" s="2692"/>
      <c r="AA5" s="2692"/>
      <c r="AB5" s="2692"/>
      <c r="AC5" s="2692"/>
      <c r="AD5" s="2692"/>
      <c r="AE5" s="2692"/>
      <c r="AF5" s="2692"/>
      <c r="AG5" s="2692"/>
      <c r="AH5" s="2692"/>
      <c r="AI5" s="2692"/>
      <c r="AJ5" s="2692"/>
      <c r="AK5" s="2692"/>
      <c r="AL5" s="2692"/>
      <c r="AM5" s="2692"/>
      <c r="AN5" s="2692"/>
      <c r="AO5" s="2692"/>
      <c r="AP5" s="2692"/>
      <c r="AQ5" s="2692"/>
      <c r="AR5" s="2692"/>
      <c r="AS5" s="2692"/>
      <c r="AT5" s="2692"/>
      <c r="AU5" s="2692"/>
      <c r="AV5" s="2692"/>
      <c r="AW5" s="2692"/>
      <c r="AX5" s="2692"/>
      <c r="AY5" s="2692"/>
      <c r="AZ5" s="2692"/>
      <c r="BA5" s="2692"/>
      <c r="BB5" s="2692"/>
      <c r="BC5" s="2692"/>
      <c r="BD5" s="2692"/>
      <c r="BE5" s="2692"/>
      <c r="BF5" s="2692"/>
      <c r="BG5" s="2692"/>
      <c r="BH5" s="2692"/>
      <c r="BI5" s="2692"/>
      <c r="BJ5" s="2692"/>
      <c r="BK5" s="2692"/>
      <c r="BL5" s="2692"/>
      <c r="BM5" s="2692"/>
      <c r="BN5" s="2692"/>
      <c r="BO5" s="2692"/>
      <c r="BP5" s="2692"/>
      <c r="BQ5" s="2692"/>
      <c r="BR5" s="2692"/>
      <c r="BS5" s="2692"/>
      <c r="GC5" s="1788">
        <v>26</v>
      </c>
    </row>
    <row r="6" spans="2:185" s="2562" customFormat="1" ht="18.75" customHeight="1">
      <c r="B6" s="867"/>
      <c r="E6" s="869"/>
      <c r="F6" s="2729" t="str">
        <f>IF(org=0,"Не определено",org)</f>
        <v>ООО "Ноябрьская ПГЭ"</v>
      </c>
      <c r="G6" s="2730"/>
      <c r="H6" s="2730"/>
      <c r="I6" s="2730"/>
      <c r="J6" s="2730"/>
      <c r="K6" s="2730"/>
      <c r="L6" s="2730"/>
      <c r="M6" s="2730"/>
      <c r="N6" s="2730"/>
      <c r="O6" s="2730"/>
      <c r="P6" s="2730"/>
      <c r="Q6" s="2730"/>
      <c r="R6" s="2730"/>
      <c r="S6" s="2730"/>
      <c r="T6" s="2730"/>
      <c r="U6" s="2730"/>
      <c r="V6" s="2730"/>
      <c r="W6" s="2730"/>
      <c r="X6" s="2730"/>
      <c r="Y6" s="2730"/>
      <c r="Z6" s="2730"/>
      <c r="AA6" s="2730"/>
      <c r="AB6" s="2730"/>
      <c r="AC6" s="2730"/>
      <c r="AD6" s="2730"/>
      <c r="AE6" s="2730"/>
      <c r="AF6" s="2730"/>
      <c r="AG6" s="2730"/>
      <c r="AH6" s="2730"/>
      <c r="AI6" s="2730"/>
      <c r="AJ6" s="2730"/>
      <c r="AK6" s="2730"/>
      <c r="AL6" s="2730"/>
      <c r="AM6" s="2730"/>
      <c r="AN6" s="2730"/>
      <c r="AO6" s="2730"/>
      <c r="AP6" s="2730"/>
      <c r="AQ6" s="2730"/>
      <c r="AR6" s="2730"/>
      <c r="AS6" s="2730"/>
      <c r="AT6" s="2730"/>
      <c r="AU6" s="2730"/>
      <c r="AV6" s="2730"/>
      <c r="AW6" s="2730"/>
      <c r="AX6" s="2730"/>
      <c r="AY6" s="2730"/>
      <c r="AZ6" s="2730"/>
      <c r="BA6" s="2730"/>
      <c r="BB6" s="2730"/>
      <c r="BC6" s="2730"/>
      <c r="BD6" s="2730"/>
      <c r="BE6" s="2730"/>
      <c r="BF6" s="2730"/>
      <c r="BG6" s="2730"/>
      <c r="BH6" s="2730"/>
      <c r="BI6" s="2730"/>
      <c r="BJ6" s="2730"/>
      <c r="BK6" s="2730"/>
      <c r="BL6" s="2730"/>
      <c r="BM6" s="2730"/>
      <c r="BN6" s="2730"/>
      <c r="BO6" s="2730"/>
      <c r="BP6" s="2730"/>
      <c r="BQ6" s="2730"/>
      <c r="BR6" s="2730"/>
      <c r="BS6" s="2730"/>
      <c r="GC6" s="868">
        <v>18</v>
      </c>
    </row>
    <row r="7" spans="2:185" s="2563"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563" customFormat="1" ht="11.25" hidden="1" customHeight="1">
      <c r="B8" s="858"/>
      <c r="F8" s="978"/>
      <c r="G8" s="696"/>
      <c r="H8" s="295"/>
      <c r="I8" s="295"/>
      <c r="J8" s="295"/>
      <c r="K8" s="295"/>
      <c r="L8" s="295"/>
      <c r="M8" s="978"/>
      <c r="N8" s="978"/>
      <c r="O8" s="2915" t="s">
        <v>1073</v>
      </c>
      <c r="P8" s="2916"/>
      <c r="Q8" s="2916"/>
      <c r="R8" s="2916"/>
      <c r="S8" s="2916"/>
      <c r="T8" s="2916"/>
      <c r="U8" s="2916"/>
      <c r="V8" s="2916"/>
      <c r="W8" s="2916"/>
      <c r="X8" s="2916"/>
      <c r="Y8" s="2916"/>
      <c r="Z8" s="2916"/>
      <c r="AA8" s="2916"/>
      <c r="AB8" s="2916"/>
      <c r="AC8" s="2916"/>
      <c r="AD8" s="2916"/>
      <c r="AE8" s="2916"/>
      <c r="AF8" s="2916"/>
      <c r="AG8" s="2916"/>
      <c r="AH8" s="2916"/>
      <c r="AI8" s="2916"/>
      <c r="AJ8" s="2916"/>
      <c r="AK8" s="2916"/>
      <c r="AL8" s="2916"/>
      <c r="AM8" s="2916"/>
      <c r="AN8" s="2916"/>
      <c r="AO8" s="2916"/>
      <c r="AP8" s="2916"/>
      <c r="AQ8" s="2916"/>
      <c r="AR8" s="2916"/>
      <c r="AS8" s="2916"/>
      <c r="AT8" s="2916"/>
      <c r="AU8" s="2916"/>
      <c r="AV8" s="2916"/>
      <c r="AW8" s="2916"/>
      <c r="AX8" s="2916"/>
      <c r="AY8" s="2916"/>
      <c r="AZ8" s="2916"/>
      <c r="BA8" s="2916"/>
      <c r="BB8" s="2916"/>
      <c r="BC8" s="2916"/>
      <c r="BD8" s="2916"/>
      <c r="BE8" s="2916"/>
      <c r="BF8" s="2916"/>
      <c r="BG8" s="2916"/>
      <c r="BH8" s="2916"/>
      <c r="BI8" s="2916"/>
      <c r="BJ8" s="2916"/>
      <c r="BK8" s="2916"/>
      <c r="BL8" s="2916"/>
      <c r="BM8" s="2916"/>
      <c r="BN8" s="2916"/>
      <c r="BO8" s="2916"/>
      <c r="BP8" s="2916"/>
      <c r="BQ8" s="2916"/>
      <c r="BR8" s="2916"/>
      <c r="BS8" s="2917"/>
      <c r="BT8" s="2904"/>
      <c r="BU8" s="2905"/>
      <c r="BV8" s="2905"/>
      <c r="BW8" s="2905"/>
      <c r="BX8" s="2905"/>
      <c r="BY8" s="2905"/>
      <c r="BZ8" s="2905"/>
      <c r="CA8" s="2905"/>
      <c r="CB8" s="2905"/>
      <c r="CC8" s="2905"/>
      <c r="CD8" s="2905"/>
      <c r="CE8" s="2905"/>
      <c r="CF8" s="2905"/>
      <c r="CG8" s="2905"/>
      <c r="CH8" s="2905"/>
      <c r="CI8" s="2905"/>
      <c r="CJ8" s="2905"/>
      <c r="CK8" s="2905"/>
      <c r="CL8" s="2905"/>
      <c r="CM8" s="2905"/>
      <c r="CN8" s="2905"/>
      <c r="CO8" s="2905"/>
      <c r="CP8" s="2905"/>
      <c r="CQ8" s="2905"/>
      <c r="CR8" s="2905"/>
      <c r="CS8" s="2905"/>
      <c r="CT8" s="2905"/>
      <c r="CU8" s="2905"/>
      <c r="CV8" s="2905"/>
      <c r="CW8" s="2905"/>
      <c r="CX8" s="2906"/>
      <c r="CY8" s="2907"/>
      <c r="CZ8" s="2908"/>
      <c r="DA8" s="2908"/>
      <c r="DB8" s="2908"/>
      <c r="DC8" s="2908"/>
      <c r="DD8" s="2908"/>
      <c r="DE8" s="2908"/>
      <c r="DF8" s="2908"/>
      <c r="DG8" s="2908"/>
      <c r="DH8" s="2908"/>
      <c r="DI8" s="2908"/>
      <c r="DJ8" s="2908"/>
      <c r="DK8" s="2908"/>
      <c r="DL8" s="2908"/>
      <c r="DM8" s="2908"/>
      <c r="DN8" s="2908"/>
      <c r="DO8" s="2908"/>
      <c r="DP8" s="2908"/>
      <c r="DQ8" s="2908"/>
      <c r="DR8" s="2908"/>
      <c r="DS8" s="2908"/>
      <c r="DT8" s="2908"/>
      <c r="DU8" s="2908"/>
      <c r="DV8" s="2908"/>
      <c r="DW8" s="2908"/>
      <c r="DX8" s="2909"/>
      <c r="DY8" s="2910" t="s">
        <v>1074</v>
      </c>
      <c r="DZ8" s="2911"/>
      <c r="EA8" s="2911"/>
      <c r="EB8" s="2911"/>
      <c r="EC8" s="2911"/>
      <c r="ED8" s="2911"/>
      <c r="EE8" s="2911"/>
      <c r="EF8" s="2911"/>
      <c r="EG8" s="2911"/>
      <c r="EH8" s="2911"/>
      <c r="EI8" s="2911"/>
      <c r="EJ8" s="2911"/>
      <c r="EK8" s="2911"/>
      <c r="EL8" s="2911"/>
      <c r="EM8" s="2911"/>
      <c r="EN8" s="2911"/>
      <c r="EO8" s="2911"/>
      <c r="EP8" s="2911"/>
      <c r="EQ8" s="2911"/>
      <c r="ER8" s="2911"/>
      <c r="ES8" s="2911"/>
      <c r="ET8" s="2911"/>
      <c r="EU8" s="2911"/>
      <c r="EV8" s="2911"/>
      <c r="EW8" s="2911"/>
      <c r="EX8" s="2911"/>
      <c r="EY8" s="2911"/>
      <c r="EZ8" s="2911"/>
      <c r="FA8" s="2911"/>
      <c r="FB8" s="2911"/>
      <c r="FC8" s="2911"/>
      <c r="FD8" s="2911"/>
      <c r="FE8" s="2911"/>
      <c r="FF8" s="2911"/>
      <c r="FG8" s="2911"/>
      <c r="FH8" s="2911"/>
      <c r="FI8" s="2911"/>
      <c r="FJ8" s="2911"/>
      <c r="FK8" s="2911"/>
      <c r="FL8" s="2911"/>
      <c r="FM8" s="2911"/>
      <c r="FN8" s="2911"/>
      <c r="FO8" s="2911"/>
      <c r="FP8" s="2911"/>
      <c r="FQ8" s="2911"/>
      <c r="FR8" s="2911"/>
      <c r="FS8" s="2911"/>
      <c r="FT8" s="2911"/>
      <c r="FU8" s="2911"/>
      <c r="FV8" s="2911"/>
      <c r="FW8" s="2912"/>
      <c r="FX8" s="978"/>
      <c r="GC8" s="857">
        <v>0</v>
      </c>
    </row>
    <row r="9" spans="2:185" s="2563"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913"/>
      <c r="FX9" s="978"/>
      <c r="GC9" s="857">
        <v>0</v>
      </c>
    </row>
    <row r="10" spans="2:185" s="2563" customFormat="1" ht="11.45" customHeight="1">
      <c r="B10" s="858"/>
      <c r="F10" s="2881" t="s">
        <v>302</v>
      </c>
      <c r="G10" s="2897"/>
      <c r="H10" s="2897"/>
      <c r="I10" s="2897"/>
      <c r="J10" s="2897"/>
      <c r="K10" s="2897"/>
      <c r="L10" s="2897"/>
      <c r="M10" s="2897"/>
      <c r="N10" s="2897"/>
      <c r="O10" s="2897"/>
      <c r="P10" s="2897"/>
      <c r="Q10" s="2897"/>
      <c r="R10" s="2897"/>
      <c r="S10" s="2897"/>
      <c r="T10" s="2897"/>
      <c r="U10" s="2897"/>
      <c r="V10" s="2897"/>
      <c r="W10" s="2897"/>
      <c r="X10" s="2897"/>
      <c r="Y10" s="2897"/>
      <c r="Z10" s="2897"/>
      <c r="AA10" s="2897"/>
      <c r="AB10" s="2897"/>
      <c r="AC10" s="2897"/>
      <c r="AD10" s="2897"/>
      <c r="AE10" s="2897"/>
      <c r="AF10" s="2897"/>
      <c r="AG10" s="2897"/>
      <c r="AH10" s="2897"/>
      <c r="AI10" s="2897"/>
      <c r="AJ10" s="2897"/>
      <c r="AK10" s="2897"/>
      <c r="AL10" s="2897"/>
      <c r="AM10" s="2897"/>
      <c r="AN10" s="2897"/>
      <c r="AO10" s="2897"/>
      <c r="AP10" s="2897"/>
      <c r="AQ10" s="2897"/>
      <c r="AR10" s="2897"/>
      <c r="AS10" s="2897"/>
      <c r="AT10" s="2897"/>
      <c r="AU10" s="2897"/>
      <c r="AV10" s="2897"/>
      <c r="AW10" s="2897"/>
      <c r="AX10" s="2897"/>
      <c r="AY10" s="2897"/>
      <c r="AZ10" s="2897"/>
      <c r="BA10" s="2897"/>
      <c r="BB10" s="2897"/>
      <c r="BC10" s="2897"/>
      <c r="BD10" s="2897"/>
      <c r="BE10" s="2897"/>
      <c r="BF10" s="2897"/>
      <c r="BG10" s="2897"/>
      <c r="BH10" s="2897"/>
      <c r="BI10" s="2897"/>
      <c r="BJ10" s="2897"/>
      <c r="BK10" s="2897"/>
      <c r="BL10" s="2897"/>
      <c r="BM10" s="2897"/>
      <c r="BN10" s="2897"/>
      <c r="BO10" s="2897"/>
      <c r="BP10" s="2897"/>
      <c r="BQ10" s="2897"/>
      <c r="BR10" s="2897"/>
      <c r="BS10" s="2897"/>
      <c r="BT10" s="2897"/>
      <c r="BU10" s="2897"/>
      <c r="BV10" s="2897"/>
      <c r="BW10" s="2897"/>
      <c r="BX10" s="2897"/>
      <c r="BY10" s="2897"/>
      <c r="BZ10" s="2897"/>
      <c r="CA10" s="2897"/>
      <c r="CB10" s="2897"/>
      <c r="CC10" s="2897"/>
      <c r="CD10" s="2897"/>
      <c r="CE10" s="2897"/>
      <c r="CF10" s="2897"/>
      <c r="CG10" s="2897"/>
      <c r="CH10" s="2897"/>
      <c r="CI10" s="2897"/>
      <c r="CJ10" s="2897"/>
      <c r="CK10" s="2897"/>
      <c r="CL10" s="2897"/>
      <c r="CM10" s="2897"/>
      <c r="CN10" s="2897"/>
      <c r="CO10" s="2897"/>
      <c r="CP10" s="2897"/>
      <c r="CQ10" s="2897"/>
      <c r="CR10" s="2897"/>
      <c r="CS10" s="2897"/>
      <c r="CT10" s="2897"/>
      <c r="CU10" s="2897"/>
      <c r="CV10" s="2897"/>
      <c r="CW10" s="2897"/>
      <c r="CX10" s="2897"/>
      <c r="CY10" s="2897"/>
      <c r="CZ10" s="2897"/>
      <c r="DA10" s="2897"/>
      <c r="DB10" s="2897"/>
      <c r="DC10" s="2897"/>
      <c r="DD10" s="2897"/>
      <c r="DE10" s="2897"/>
      <c r="DF10" s="2897"/>
      <c r="DG10" s="2897"/>
      <c r="DH10" s="2897"/>
      <c r="DI10" s="2897"/>
      <c r="DJ10" s="2897"/>
      <c r="DK10" s="2897"/>
      <c r="DL10" s="2897"/>
      <c r="DM10" s="2897"/>
      <c r="DN10" s="2897"/>
      <c r="DO10" s="2897"/>
      <c r="DP10" s="2897"/>
      <c r="DQ10" s="2897"/>
      <c r="DR10" s="2897"/>
      <c r="DS10" s="2897"/>
      <c r="DT10" s="2897"/>
      <c r="DU10" s="2897"/>
      <c r="DV10" s="2897"/>
      <c r="DW10" s="2897"/>
      <c r="DX10" s="2897"/>
      <c r="DY10" s="2897"/>
      <c r="DZ10" s="2897"/>
      <c r="EA10" s="2897"/>
      <c r="EB10" s="2897"/>
      <c r="EC10" s="2897"/>
      <c r="ED10" s="2897"/>
      <c r="EE10" s="2897"/>
      <c r="EF10" s="2897"/>
      <c r="EG10" s="2897"/>
      <c r="EH10" s="2897"/>
      <c r="EI10" s="2897"/>
      <c r="EJ10" s="2897"/>
      <c r="EK10" s="2897"/>
      <c r="EL10" s="2897"/>
      <c r="EM10" s="2897"/>
      <c r="EN10" s="2897"/>
      <c r="EO10" s="2897"/>
      <c r="EP10" s="2897"/>
      <c r="EQ10" s="2897"/>
      <c r="ER10" s="2897"/>
      <c r="ES10" s="2897"/>
      <c r="ET10" s="2897"/>
      <c r="EU10" s="2897"/>
      <c r="EV10" s="2897"/>
      <c r="EW10" s="2897"/>
      <c r="EX10" s="2897"/>
      <c r="EY10" s="2897"/>
      <c r="EZ10" s="2897"/>
      <c r="FA10" s="2897"/>
      <c r="FB10" s="2897"/>
      <c r="FC10" s="2897"/>
      <c r="FD10" s="2897"/>
      <c r="FE10" s="2897"/>
      <c r="FF10" s="2897"/>
      <c r="FG10" s="2897"/>
      <c r="FH10" s="2897"/>
      <c r="FI10" s="2897"/>
      <c r="FJ10" s="2897"/>
      <c r="FK10" s="2897"/>
      <c r="FL10" s="2897"/>
      <c r="FM10" s="2897"/>
      <c r="FN10" s="2897"/>
      <c r="FO10" s="2897"/>
      <c r="FP10" s="2897"/>
      <c r="FQ10" s="2897"/>
      <c r="FR10" s="2897"/>
      <c r="FS10" s="2897"/>
      <c r="FT10" s="2897"/>
      <c r="FU10" s="2897"/>
      <c r="FV10" s="2898"/>
      <c r="FW10" s="2913"/>
      <c r="FX10" s="978"/>
      <c r="GC10" s="857">
        <v>11</v>
      </c>
    </row>
    <row r="11" spans="2:185" ht="12.75" customHeight="1">
      <c r="E11" s="861"/>
      <c r="F11" s="2720" t="s">
        <v>87</v>
      </c>
      <c r="G11" s="2720" t="s">
        <v>1075</v>
      </c>
      <c r="H11" s="2720" t="s">
        <v>1076</v>
      </c>
      <c r="I11" s="2720" t="s">
        <v>1077</v>
      </c>
      <c r="J11" s="2903"/>
      <c r="K11" s="2903"/>
      <c r="L11" s="2903"/>
      <c r="M11" s="2903"/>
      <c r="N11" s="2903"/>
      <c r="O11" s="2724" t="s">
        <v>1078</v>
      </c>
      <c r="P11" s="2724"/>
      <c r="Q11" s="2724"/>
      <c r="R11" s="2724"/>
      <c r="S11" s="2724"/>
      <c r="T11" s="2724"/>
      <c r="U11" s="2724"/>
      <c r="V11" s="2724"/>
      <c r="W11" s="2724"/>
      <c r="X11" s="2724"/>
      <c r="Y11" s="2724"/>
      <c r="Z11" s="2724"/>
      <c r="AA11" s="2724"/>
      <c r="AB11" s="2724"/>
      <c r="AC11" s="2901"/>
      <c r="AD11" s="2901"/>
      <c r="AE11" s="2901"/>
      <c r="AF11" s="2901"/>
      <c r="AG11" s="2901"/>
      <c r="AH11" s="2901"/>
      <c r="AI11" s="2901"/>
      <c r="AJ11" s="2901"/>
      <c r="AK11" s="2901"/>
      <c r="AL11" s="2901"/>
      <c r="AM11" s="2901"/>
      <c r="AN11" s="2901"/>
      <c r="AO11" s="2901"/>
      <c r="AP11" s="2901"/>
      <c r="AQ11" s="2901"/>
      <c r="AR11" s="2901"/>
      <c r="AS11" s="2901"/>
      <c r="AT11" s="2901"/>
      <c r="AU11" s="2901"/>
      <c r="AV11" s="2901"/>
      <c r="AW11" s="2901"/>
      <c r="AX11" s="2901"/>
      <c r="AY11" s="2901"/>
      <c r="AZ11" s="2901"/>
      <c r="BA11" s="2901"/>
      <c r="BB11" s="2901"/>
      <c r="BC11" s="2901"/>
      <c r="BD11" s="2901"/>
      <c r="BE11" s="2901"/>
      <c r="BF11" s="2901"/>
      <c r="BG11" s="2901"/>
      <c r="BH11" s="2901"/>
      <c r="BI11" s="2901"/>
      <c r="BJ11" s="2901"/>
      <c r="BK11" s="2901"/>
      <c r="BL11" s="2901"/>
      <c r="BM11" s="2901"/>
      <c r="BN11" s="2901"/>
      <c r="BO11" s="2901"/>
      <c r="BP11" s="2901"/>
      <c r="BQ11" s="2901"/>
      <c r="BR11" s="2901"/>
      <c r="BS11" s="2918"/>
      <c r="BT11" s="2865" t="s">
        <v>1078</v>
      </c>
      <c r="BU11" s="2866"/>
      <c r="BV11" s="2866"/>
      <c r="BW11" s="2866"/>
      <c r="BX11" s="2866"/>
      <c r="BY11" s="2866"/>
      <c r="BZ11" s="2866"/>
      <c r="CA11" s="2866"/>
      <c r="CB11" s="2866"/>
      <c r="CC11" s="2866"/>
      <c r="CD11" s="2866"/>
      <c r="CE11" s="2866"/>
      <c r="CF11" s="2866"/>
      <c r="CG11" s="2866"/>
      <c r="CH11" s="2866"/>
      <c r="CI11" s="2866"/>
      <c r="CJ11" s="2866"/>
      <c r="CK11" s="2900"/>
      <c r="CL11" s="2902"/>
      <c r="CM11" s="2901"/>
      <c r="CN11" s="2901"/>
      <c r="CO11" s="2901"/>
      <c r="CP11" s="2901"/>
      <c r="CQ11" s="2901"/>
      <c r="CR11" s="2901"/>
      <c r="CS11" s="2901"/>
      <c r="CT11" s="2901"/>
      <c r="CU11" s="2901"/>
      <c r="CV11" s="2901"/>
      <c r="CW11" s="2901"/>
      <c r="CX11" s="2918"/>
      <c r="CY11" s="2865" t="s">
        <v>1078</v>
      </c>
      <c r="CZ11" s="2866"/>
      <c r="DA11" s="2866"/>
      <c r="DB11" s="2866"/>
      <c r="DC11" s="2866"/>
      <c r="DD11" s="2866"/>
      <c r="DE11" s="2866"/>
      <c r="DF11" s="2866"/>
      <c r="DG11" s="2866"/>
      <c r="DH11" s="2866"/>
      <c r="DI11" s="2866"/>
      <c r="DJ11" s="2900"/>
      <c r="DK11" s="2902"/>
      <c r="DL11" s="2901"/>
      <c r="DM11" s="2901"/>
      <c r="DN11" s="2901"/>
      <c r="DO11" s="2901"/>
      <c r="DP11" s="2901"/>
      <c r="DQ11" s="2901"/>
      <c r="DR11" s="2901"/>
      <c r="DS11" s="2901"/>
      <c r="DT11" s="2901"/>
      <c r="DU11" s="2901"/>
      <c r="DV11" s="2901"/>
      <c r="DW11" s="2901"/>
      <c r="DX11" s="2901"/>
      <c r="DY11" s="2901"/>
      <c r="DZ11" s="2901"/>
      <c r="EA11" s="2901"/>
      <c r="EB11" s="2901"/>
      <c r="EC11" s="2901"/>
      <c r="ED11" s="2901"/>
      <c r="EE11" s="2901"/>
      <c r="EF11" s="2901"/>
      <c r="EG11" s="2901"/>
      <c r="EH11" s="2901"/>
      <c r="EI11" s="2901"/>
      <c r="EJ11" s="2901"/>
      <c r="EK11" s="2901"/>
      <c r="EL11" s="2901"/>
      <c r="EM11" s="2901"/>
      <c r="EN11" s="2901"/>
      <c r="EO11" s="2901"/>
      <c r="EP11" s="2901"/>
      <c r="EQ11" s="2901"/>
      <c r="ER11" s="2901"/>
      <c r="ES11" s="2901"/>
      <c r="ET11" s="2901"/>
      <c r="EU11" s="2901"/>
      <c r="EV11" s="2901"/>
      <c r="EW11" s="2901"/>
      <c r="EX11" s="2901"/>
      <c r="EY11" s="2901"/>
      <c r="EZ11" s="2901"/>
      <c r="FA11" s="2901"/>
      <c r="FB11" s="2901"/>
      <c r="FC11" s="2901"/>
      <c r="FD11" s="2901"/>
      <c r="FE11" s="2901"/>
      <c r="FF11" s="2901"/>
      <c r="FG11" s="2901"/>
      <c r="FH11" s="2901"/>
      <c r="FI11" s="2901"/>
      <c r="FJ11" s="2901"/>
      <c r="FK11" s="2901"/>
      <c r="FL11" s="2901"/>
      <c r="FM11" s="2901"/>
      <c r="FN11" s="2901"/>
      <c r="FO11" s="2901"/>
      <c r="FP11" s="2901"/>
      <c r="FQ11" s="2901"/>
      <c r="FR11" s="2901"/>
      <c r="FS11" s="2901"/>
      <c r="FT11" s="2901"/>
      <c r="FU11" s="2901"/>
      <c r="FV11" s="2901"/>
      <c r="FW11" s="2913"/>
      <c r="FX11" s="695"/>
      <c r="GC11" s="850">
        <v>12</v>
      </c>
    </row>
    <row r="12" spans="2:185" ht="12.75" customHeight="1">
      <c r="D12" s="862"/>
      <c r="E12" s="861"/>
      <c r="F12" s="2720"/>
      <c r="G12" s="2720"/>
      <c r="H12" s="2720"/>
      <c r="I12" s="2720"/>
      <c r="J12" s="2903"/>
      <c r="K12" s="2903"/>
      <c r="L12" s="2903"/>
      <c r="M12" s="2903"/>
      <c r="N12" s="2903"/>
      <c r="O12" s="2724" t="s">
        <v>1079</v>
      </c>
      <c r="P12" s="2724"/>
      <c r="Q12" s="2724"/>
      <c r="R12" s="2724"/>
      <c r="S12" s="2724" t="s">
        <v>1080</v>
      </c>
      <c r="T12" s="2724"/>
      <c r="U12" s="2724"/>
      <c r="V12" s="2724"/>
      <c r="W12" s="2724"/>
      <c r="X12" s="2724"/>
      <c r="Y12" s="2724"/>
      <c r="Z12" s="2724"/>
      <c r="AA12" s="2724"/>
      <c r="AB12" s="2724"/>
      <c r="AC12" s="2901"/>
      <c r="AD12" s="2901"/>
      <c r="AE12" s="2901"/>
      <c r="AF12" s="2901"/>
      <c r="AG12" s="2901"/>
      <c r="AH12" s="2901"/>
      <c r="AI12" s="2901"/>
      <c r="AJ12" s="2901"/>
      <c r="AK12" s="2901"/>
      <c r="AL12" s="2901"/>
      <c r="AM12" s="2901"/>
      <c r="AN12" s="2901"/>
      <c r="AO12" s="2901"/>
      <c r="AP12" s="2901"/>
      <c r="AQ12" s="2901"/>
      <c r="AR12" s="2901"/>
      <c r="AS12" s="2901"/>
      <c r="AT12" s="2901"/>
      <c r="AU12" s="2901"/>
      <c r="AV12" s="2901"/>
      <c r="AW12" s="2901"/>
      <c r="AX12" s="2901"/>
      <c r="AY12" s="2901"/>
      <c r="AZ12" s="2901"/>
      <c r="BA12" s="2901"/>
      <c r="BB12" s="2901"/>
      <c r="BC12" s="2901"/>
      <c r="BD12" s="2901"/>
      <c r="BE12" s="2901"/>
      <c r="BF12" s="2901"/>
      <c r="BG12" s="2901"/>
      <c r="BH12" s="2901"/>
      <c r="BI12" s="2901"/>
      <c r="BJ12" s="2901"/>
      <c r="BK12" s="2901"/>
      <c r="BL12" s="2901"/>
      <c r="BM12" s="2901"/>
      <c r="BN12" s="2901"/>
      <c r="BO12" s="2901"/>
      <c r="BP12" s="2901"/>
      <c r="BQ12" s="2901"/>
      <c r="BR12" s="2901"/>
      <c r="BS12" s="2918"/>
      <c r="BT12" s="2865" t="s">
        <v>1081</v>
      </c>
      <c r="BU12" s="2866"/>
      <c r="BV12" s="2866"/>
      <c r="BW12" s="2900"/>
      <c r="BX12" s="2865" t="s">
        <v>1082</v>
      </c>
      <c r="BY12" s="2866"/>
      <c r="BZ12" s="2866"/>
      <c r="CA12" s="2900"/>
      <c r="CB12" s="2865" t="s">
        <v>1083</v>
      </c>
      <c r="CC12" s="2900"/>
      <c r="CD12" s="2865" t="s">
        <v>1084</v>
      </c>
      <c r="CE12" s="2866"/>
      <c r="CF12" s="2866"/>
      <c r="CG12" s="2866"/>
      <c r="CH12" s="2866"/>
      <c r="CI12" s="2866"/>
      <c r="CJ12" s="2866"/>
      <c r="CK12" s="2900"/>
      <c r="CL12" s="2902"/>
      <c r="CM12" s="2901"/>
      <c r="CN12" s="2901"/>
      <c r="CO12" s="2901"/>
      <c r="CP12" s="2901"/>
      <c r="CQ12" s="2901"/>
      <c r="CR12" s="2901"/>
      <c r="CS12" s="2901"/>
      <c r="CT12" s="2901"/>
      <c r="CU12" s="2901"/>
      <c r="CV12" s="2901"/>
      <c r="CW12" s="2901"/>
      <c r="CX12" s="2918"/>
      <c r="CY12" s="2865" t="s">
        <v>1085</v>
      </c>
      <c r="CZ12" s="2866"/>
      <c r="DA12" s="2866"/>
      <c r="DB12" s="2866"/>
      <c r="DC12" s="2866"/>
      <c r="DD12" s="2900"/>
      <c r="DE12" s="2865" t="s">
        <v>1086</v>
      </c>
      <c r="DF12" s="2900"/>
      <c r="DG12" s="2865" t="s">
        <v>1084</v>
      </c>
      <c r="DH12" s="2866"/>
      <c r="DI12" s="2866"/>
      <c r="DJ12" s="2900"/>
      <c r="DK12" s="2902"/>
      <c r="DL12" s="2901"/>
      <c r="DM12" s="2901"/>
      <c r="DN12" s="2901"/>
      <c r="DO12" s="2901"/>
      <c r="DP12" s="2901"/>
      <c r="DQ12" s="2901"/>
      <c r="DR12" s="2901"/>
      <c r="DS12" s="2901"/>
      <c r="DT12" s="2901"/>
      <c r="DU12" s="2901"/>
      <c r="DV12" s="2901"/>
      <c r="DW12" s="2901"/>
      <c r="DX12" s="2901"/>
      <c r="DY12" s="2901"/>
      <c r="DZ12" s="2901"/>
      <c r="EA12" s="2901"/>
      <c r="EB12" s="2901"/>
      <c r="EC12" s="2901"/>
      <c r="ED12" s="2901"/>
      <c r="EE12" s="2901"/>
      <c r="EF12" s="2901"/>
      <c r="EG12" s="2901"/>
      <c r="EH12" s="2901"/>
      <c r="EI12" s="2901"/>
      <c r="EJ12" s="2901"/>
      <c r="EK12" s="2901"/>
      <c r="EL12" s="2901"/>
      <c r="EM12" s="2901"/>
      <c r="EN12" s="2901"/>
      <c r="EO12" s="2901"/>
      <c r="EP12" s="2901"/>
      <c r="EQ12" s="2901"/>
      <c r="ER12" s="2901"/>
      <c r="ES12" s="2901"/>
      <c r="ET12" s="2901"/>
      <c r="EU12" s="2901"/>
      <c r="EV12" s="2901"/>
      <c r="EW12" s="2901"/>
      <c r="EX12" s="2901"/>
      <c r="EY12" s="2901"/>
      <c r="EZ12" s="2901"/>
      <c r="FA12" s="2901"/>
      <c r="FB12" s="2901"/>
      <c r="FC12" s="2901"/>
      <c r="FD12" s="2901"/>
      <c r="FE12" s="2901"/>
      <c r="FF12" s="2901"/>
      <c r="FG12" s="2901"/>
      <c r="FH12" s="2901"/>
      <c r="FI12" s="2901"/>
      <c r="FJ12" s="2901"/>
      <c r="FK12" s="2901"/>
      <c r="FL12" s="2901"/>
      <c r="FM12" s="2901"/>
      <c r="FN12" s="2901"/>
      <c r="FO12" s="2901"/>
      <c r="FP12" s="2901"/>
      <c r="FQ12" s="2901"/>
      <c r="FR12" s="2901"/>
      <c r="FS12" s="2901"/>
      <c r="FT12" s="2901"/>
      <c r="FU12" s="2901"/>
      <c r="FV12" s="2901"/>
      <c r="FW12" s="2913"/>
      <c r="FX12" s="695"/>
      <c r="GC12" s="850">
        <v>12</v>
      </c>
    </row>
    <row r="13" spans="2:185" ht="37.9" customHeight="1">
      <c r="D13" s="862"/>
      <c r="E13" s="861"/>
      <c r="F13" s="2720"/>
      <c r="G13" s="2720"/>
      <c r="H13" s="2720"/>
      <c r="I13" s="2720"/>
      <c r="J13" s="2903"/>
      <c r="K13" s="2903"/>
      <c r="L13" s="2903"/>
      <c r="M13" s="2903"/>
      <c r="N13" s="2903"/>
      <c r="O13" s="2724" t="s">
        <v>1087</v>
      </c>
      <c r="P13" s="2724"/>
      <c r="Q13" s="2724"/>
      <c r="R13" s="2724"/>
      <c r="S13" s="2819" t="s">
        <v>1088</v>
      </c>
      <c r="T13" s="2867"/>
      <c r="U13" s="2638" t="s">
        <v>1089</v>
      </c>
      <c r="V13" s="2638"/>
      <c r="W13" s="2638"/>
      <c r="X13" s="2638"/>
      <c r="Y13" s="2638" t="s">
        <v>1090</v>
      </c>
      <c r="Z13" s="2638"/>
      <c r="AA13" s="2638"/>
      <c r="AB13" s="2638"/>
      <c r="AC13" s="2901"/>
      <c r="AD13" s="2901"/>
      <c r="AE13" s="2901"/>
      <c r="AF13" s="2901"/>
      <c r="AG13" s="2901"/>
      <c r="AH13" s="2901"/>
      <c r="AI13" s="2901"/>
      <c r="AJ13" s="2901"/>
      <c r="AK13" s="2901"/>
      <c r="AL13" s="2901"/>
      <c r="AM13" s="2901"/>
      <c r="AN13" s="2901"/>
      <c r="AO13" s="2901"/>
      <c r="AP13" s="2901"/>
      <c r="AQ13" s="2901"/>
      <c r="AR13" s="2901"/>
      <c r="AS13" s="2901"/>
      <c r="AT13" s="2901"/>
      <c r="AU13" s="2901"/>
      <c r="AV13" s="2901"/>
      <c r="AW13" s="2901"/>
      <c r="AX13" s="2901"/>
      <c r="AY13" s="2901"/>
      <c r="AZ13" s="2901"/>
      <c r="BA13" s="2901"/>
      <c r="BB13" s="2901"/>
      <c r="BC13" s="2901"/>
      <c r="BD13" s="2901"/>
      <c r="BE13" s="2901"/>
      <c r="BF13" s="2901"/>
      <c r="BG13" s="2901"/>
      <c r="BH13" s="2901"/>
      <c r="BI13" s="2901"/>
      <c r="BJ13" s="2901"/>
      <c r="BK13" s="2901"/>
      <c r="BL13" s="2901"/>
      <c r="BM13" s="2901"/>
      <c r="BN13" s="2901"/>
      <c r="BO13" s="2901"/>
      <c r="BP13" s="2901"/>
      <c r="BQ13" s="2901"/>
      <c r="BR13" s="2901"/>
      <c r="BS13" s="2918"/>
      <c r="BT13" s="2819" t="s">
        <v>1091</v>
      </c>
      <c r="BU13" s="2867"/>
      <c r="BV13" s="2819" t="s">
        <v>1092</v>
      </c>
      <c r="BW13" s="2867"/>
      <c r="BX13" s="2819" t="s">
        <v>1093</v>
      </c>
      <c r="BY13" s="2867"/>
      <c r="BZ13" s="2819" t="s">
        <v>1094</v>
      </c>
      <c r="CA13" s="2867"/>
      <c r="CB13" s="2819" t="s">
        <v>1095</v>
      </c>
      <c r="CC13" s="2867"/>
      <c r="CD13" s="2819" t="s">
        <v>1096</v>
      </c>
      <c r="CE13" s="2867"/>
      <c r="CF13" s="2819" t="s">
        <v>1097</v>
      </c>
      <c r="CG13" s="2867"/>
      <c r="CH13" s="2865" t="s">
        <v>1098</v>
      </c>
      <c r="CI13" s="2866"/>
      <c r="CJ13" s="2866"/>
      <c r="CK13" s="2900"/>
      <c r="CL13" s="2902"/>
      <c r="CM13" s="2901"/>
      <c r="CN13" s="2901"/>
      <c r="CO13" s="2901"/>
      <c r="CP13" s="2901"/>
      <c r="CQ13" s="2901"/>
      <c r="CR13" s="2901"/>
      <c r="CS13" s="2901"/>
      <c r="CT13" s="2901"/>
      <c r="CU13" s="2901"/>
      <c r="CV13" s="2901"/>
      <c r="CW13" s="2901"/>
      <c r="CX13" s="2918"/>
      <c r="CY13" s="2819" t="s">
        <v>1099</v>
      </c>
      <c r="CZ13" s="2867"/>
      <c r="DA13" s="2819" t="s">
        <v>1100</v>
      </c>
      <c r="DB13" s="2867"/>
      <c r="DC13" s="2819" t="s">
        <v>1101</v>
      </c>
      <c r="DD13" s="2867"/>
      <c r="DE13" s="2819" t="s">
        <v>1102</v>
      </c>
      <c r="DF13" s="2867"/>
      <c r="DG13" s="2865" t="s">
        <v>1103</v>
      </c>
      <c r="DH13" s="2866"/>
      <c r="DI13" s="2866"/>
      <c r="DJ13" s="2900"/>
      <c r="DK13" s="2902"/>
      <c r="DL13" s="2901"/>
      <c r="DM13" s="2901"/>
      <c r="DN13" s="2901"/>
      <c r="DO13" s="2901"/>
      <c r="DP13" s="2901"/>
      <c r="DQ13" s="2901"/>
      <c r="DR13" s="2901"/>
      <c r="DS13" s="2901"/>
      <c r="DT13" s="2901"/>
      <c r="DU13" s="2901"/>
      <c r="DV13" s="2901"/>
      <c r="DW13" s="2901"/>
      <c r="DX13" s="2901"/>
      <c r="DY13" s="2901"/>
      <c r="DZ13" s="2901"/>
      <c r="EA13" s="2901"/>
      <c r="EB13" s="2901"/>
      <c r="EC13" s="2901"/>
      <c r="ED13" s="2901"/>
      <c r="EE13" s="2901"/>
      <c r="EF13" s="2901"/>
      <c r="EG13" s="2901"/>
      <c r="EH13" s="2901"/>
      <c r="EI13" s="2901"/>
      <c r="EJ13" s="2901"/>
      <c r="EK13" s="2901"/>
      <c r="EL13" s="2901"/>
      <c r="EM13" s="2901"/>
      <c r="EN13" s="2901"/>
      <c r="EO13" s="2901"/>
      <c r="EP13" s="2901"/>
      <c r="EQ13" s="2901"/>
      <c r="ER13" s="2901"/>
      <c r="ES13" s="2901"/>
      <c r="ET13" s="2901"/>
      <c r="EU13" s="2901"/>
      <c r="EV13" s="2901"/>
      <c r="EW13" s="2901"/>
      <c r="EX13" s="2901"/>
      <c r="EY13" s="2901"/>
      <c r="EZ13" s="2901"/>
      <c r="FA13" s="2901"/>
      <c r="FB13" s="2901"/>
      <c r="FC13" s="2901"/>
      <c r="FD13" s="2901"/>
      <c r="FE13" s="2901"/>
      <c r="FF13" s="2901"/>
      <c r="FG13" s="2901"/>
      <c r="FH13" s="2901"/>
      <c r="FI13" s="2901"/>
      <c r="FJ13" s="2901"/>
      <c r="FK13" s="2901"/>
      <c r="FL13" s="2901"/>
      <c r="FM13" s="2901"/>
      <c r="FN13" s="2901"/>
      <c r="FO13" s="2901"/>
      <c r="FP13" s="2901"/>
      <c r="FQ13" s="2901"/>
      <c r="FR13" s="2901"/>
      <c r="FS13" s="2901"/>
      <c r="FT13" s="2901"/>
      <c r="FU13" s="2901"/>
      <c r="FV13" s="2901"/>
      <c r="FW13" s="2913"/>
      <c r="FX13" s="695"/>
      <c r="GC13" s="850">
        <v>36</v>
      </c>
    </row>
    <row r="14" spans="2:185" ht="37.9" customHeight="1">
      <c r="D14" s="862"/>
      <c r="E14" s="861"/>
      <c r="F14" s="2720"/>
      <c r="G14" s="2720"/>
      <c r="H14" s="2720"/>
      <c r="I14" s="2720"/>
      <c r="J14" s="2903"/>
      <c r="K14" s="2903"/>
      <c r="L14" s="2903"/>
      <c r="M14" s="2903"/>
      <c r="N14" s="2903"/>
      <c r="O14" s="2819" t="s">
        <v>1104</v>
      </c>
      <c r="P14" s="2867"/>
      <c r="Q14" s="2819" t="s">
        <v>1105</v>
      </c>
      <c r="R14" s="2867"/>
      <c r="S14" s="2820"/>
      <c r="T14" s="2728"/>
      <c r="U14" s="2819" t="s">
        <v>837</v>
      </c>
      <c r="V14" s="2867"/>
      <c r="W14" s="2819" t="s">
        <v>840</v>
      </c>
      <c r="X14" s="2867"/>
      <c r="Y14" s="2819" t="s">
        <v>837</v>
      </c>
      <c r="Z14" s="2867"/>
      <c r="AA14" s="2819" t="s">
        <v>847</v>
      </c>
      <c r="AB14" s="2867"/>
      <c r="AC14" s="2901"/>
      <c r="AD14" s="2901"/>
      <c r="AE14" s="2901"/>
      <c r="AF14" s="2901"/>
      <c r="AG14" s="2901"/>
      <c r="AH14" s="2901"/>
      <c r="AI14" s="2901"/>
      <c r="AJ14" s="2901"/>
      <c r="AK14" s="2901"/>
      <c r="AL14" s="2901"/>
      <c r="AM14" s="2901"/>
      <c r="AN14" s="2901"/>
      <c r="AO14" s="2901"/>
      <c r="AP14" s="2901"/>
      <c r="AQ14" s="2901"/>
      <c r="AR14" s="2901"/>
      <c r="AS14" s="2901"/>
      <c r="AT14" s="2901"/>
      <c r="AU14" s="2901"/>
      <c r="AV14" s="2901"/>
      <c r="AW14" s="2901"/>
      <c r="AX14" s="2901"/>
      <c r="AY14" s="2901"/>
      <c r="AZ14" s="2901"/>
      <c r="BA14" s="2901"/>
      <c r="BB14" s="2901"/>
      <c r="BC14" s="2901"/>
      <c r="BD14" s="2901"/>
      <c r="BE14" s="2901"/>
      <c r="BF14" s="2901"/>
      <c r="BG14" s="2901"/>
      <c r="BH14" s="2901"/>
      <c r="BI14" s="2901"/>
      <c r="BJ14" s="2901"/>
      <c r="BK14" s="2901"/>
      <c r="BL14" s="2901"/>
      <c r="BM14" s="2901"/>
      <c r="BN14" s="2901"/>
      <c r="BO14" s="2901"/>
      <c r="BP14" s="2901"/>
      <c r="BQ14" s="2901"/>
      <c r="BR14" s="2901"/>
      <c r="BS14" s="2918"/>
      <c r="BT14" s="2820"/>
      <c r="BU14" s="2728"/>
      <c r="BV14" s="2820"/>
      <c r="BW14" s="2728"/>
      <c r="BX14" s="2820"/>
      <c r="BY14" s="2728"/>
      <c r="BZ14" s="2820"/>
      <c r="CA14" s="2728"/>
      <c r="CB14" s="2820"/>
      <c r="CC14" s="2728"/>
      <c r="CD14" s="2820"/>
      <c r="CE14" s="2728"/>
      <c r="CF14" s="2820"/>
      <c r="CG14" s="2728"/>
      <c r="CH14" s="2819" t="s">
        <v>1106</v>
      </c>
      <c r="CI14" s="2867"/>
      <c r="CJ14" s="2819" t="s">
        <v>1107</v>
      </c>
      <c r="CK14" s="2867"/>
      <c r="CL14" s="2902"/>
      <c r="CM14" s="2901"/>
      <c r="CN14" s="2901"/>
      <c r="CO14" s="2901"/>
      <c r="CP14" s="2901"/>
      <c r="CQ14" s="2901"/>
      <c r="CR14" s="2901"/>
      <c r="CS14" s="2901"/>
      <c r="CT14" s="2901"/>
      <c r="CU14" s="2901"/>
      <c r="CV14" s="2901"/>
      <c r="CW14" s="2901"/>
      <c r="CX14" s="2918"/>
      <c r="CY14" s="2820"/>
      <c r="CZ14" s="2728"/>
      <c r="DA14" s="2820"/>
      <c r="DB14" s="2728"/>
      <c r="DC14" s="2820"/>
      <c r="DD14" s="2728"/>
      <c r="DE14" s="2820"/>
      <c r="DF14" s="2728"/>
      <c r="DG14" s="2819" t="s">
        <v>1108</v>
      </c>
      <c r="DH14" s="2867"/>
      <c r="DI14" s="2819" t="s">
        <v>1109</v>
      </c>
      <c r="DJ14" s="2867"/>
      <c r="DK14" s="2902"/>
      <c r="DL14" s="2901"/>
      <c r="DM14" s="2901"/>
      <c r="DN14" s="2901"/>
      <c r="DO14" s="2901"/>
      <c r="DP14" s="2901"/>
      <c r="DQ14" s="2901"/>
      <c r="DR14" s="2901"/>
      <c r="DS14" s="2901"/>
      <c r="DT14" s="2901"/>
      <c r="DU14" s="2901"/>
      <c r="DV14" s="2901"/>
      <c r="DW14" s="2901"/>
      <c r="DX14" s="2901"/>
      <c r="DY14" s="2901"/>
      <c r="DZ14" s="2901"/>
      <c r="EA14" s="2901"/>
      <c r="EB14" s="2901"/>
      <c r="EC14" s="2901"/>
      <c r="ED14" s="2901"/>
      <c r="EE14" s="2901"/>
      <c r="EF14" s="2901"/>
      <c r="EG14" s="2901"/>
      <c r="EH14" s="2901"/>
      <c r="EI14" s="2901"/>
      <c r="EJ14" s="2901"/>
      <c r="EK14" s="2901"/>
      <c r="EL14" s="2901"/>
      <c r="EM14" s="2901"/>
      <c r="EN14" s="2901"/>
      <c r="EO14" s="2901"/>
      <c r="EP14" s="2901"/>
      <c r="EQ14" s="2901"/>
      <c r="ER14" s="2901"/>
      <c r="ES14" s="2901"/>
      <c r="ET14" s="2901"/>
      <c r="EU14" s="2901"/>
      <c r="EV14" s="2901"/>
      <c r="EW14" s="2901"/>
      <c r="EX14" s="2901"/>
      <c r="EY14" s="2901"/>
      <c r="EZ14" s="2901"/>
      <c r="FA14" s="2901"/>
      <c r="FB14" s="2901"/>
      <c r="FC14" s="2901"/>
      <c r="FD14" s="2901"/>
      <c r="FE14" s="2901"/>
      <c r="FF14" s="2901"/>
      <c r="FG14" s="2901"/>
      <c r="FH14" s="2901"/>
      <c r="FI14" s="2901"/>
      <c r="FJ14" s="2901"/>
      <c r="FK14" s="2901"/>
      <c r="FL14" s="2901"/>
      <c r="FM14" s="2901"/>
      <c r="FN14" s="2901"/>
      <c r="FO14" s="2901"/>
      <c r="FP14" s="2901"/>
      <c r="FQ14" s="2901"/>
      <c r="FR14" s="2901"/>
      <c r="FS14" s="2901"/>
      <c r="FT14" s="2901"/>
      <c r="FU14" s="2901"/>
      <c r="FV14" s="2901"/>
      <c r="FW14" s="2913"/>
      <c r="FX14" s="695"/>
      <c r="GC14" s="850">
        <v>36</v>
      </c>
    </row>
    <row r="15" spans="2:185" ht="37.9" customHeight="1">
      <c r="D15" s="862"/>
      <c r="E15" s="861"/>
      <c r="F15" s="2720"/>
      <c r="G15" s="2720"/>
      <c r="H15" s="2720"/>
      <c r="I15" s="2720"/>
      <c r="J15" s="2903"/>
      <c r="K15" s="2903"/>
      <c r="L15" s="2903"/>
      <c r="M15" s="2903"/>
      <c r="N15" s="2903"/>
      <c r="O15" s="2821"/>
      <c r="P15" s="2884"/>
      <c r="Q15" s="2821"/>
      <c r="R15" s="2884"/>
      <c r="S15" s="2821"/>
      <c r="T15" s="2884"/>
      <c r="U15" s="2821"/>
      <c r="V15" s="2884"/>
      <c r="W15" s="2821"/>
      <c r="X15" s="2884"/>
      <c r="Y15" s="2821"/>
      <c r="Z15" s="2884"/>
      <c r="AA15" s="2821"/>
      <c r="AB15" s="2884"/>
      <c r="AC15" s="2901"/>
      <c r="AD15" s="2901"/>
      <c r="AE15" s="2901"/>
      <c r="AF15" s="2901"/>
      <c r="AG15" s="2901"/>
      <c r="AH15" s="2901"/>
      <c r="AI15" s="2901"/>
      <c r="AJ15" s="2901"/>
      <c r="AK15" s="2901"/>
      <c r="AL15" s="2901"/>
      <c r="AM15" s="2901"/>
      <c r="AN15" s="2901"/>
      <c r="AO15" s="2901"/>
      <c r="AP15" s="2901"/>
      <c r="AQ15" s="2901"/>
      <c r="AR15" s="2901"/>
      <c r="AS15" s="2901"/>
      <c r="AT15" s="2901"/>
      <c r="AU15" s="2901"/>
      <c r="AV15" s="2901"/>
      <c r="AW15" s="2901"/>
      <c r="AX15" s="2901"/>
      <c r="AY15" s="2901"/>
      <c r="AZ15" s="2901"/>
      <c r="BA15" s="2901"/>
      <c r="BB15" s="2901"/>
      <c r="BC15" s="2901"/>
      <c r="BD15" s="2901"/>
      <c r="BE15" s="2901"/>
      <c r="BF15" s="2901"/>
      <c r="BG15" s="2901"/>
      <c r="BH15" s="2901"/>
      <c r="BI15" s="2901"/>
      <c r="BJ15" s="2901"/>
      <c r="BK15" s="2901"/>
      <c r="BL15" s="2901"/>
      <c r="BM15" s="2901"/>
      <c r="BN15" s="2901"/>
      <c r="BO15" s="2901"/>
      <c r="BP15" s="2901"/>
      <c r="BQ15" s="2901"/>
      <c r="BR15" s="2901"/>
      <c r="BS15" s="2918"/>
      <c r="BT15" s="2821"/>
      <c r="BU15" s="2884"/>
      <c r="BV15" s="2821"/>
      <c r="BW15" s="2884"/>
      <c r="BX15" s="2821"/>
      <c r="BY15" s="2884"/>
      <c r="BZ15" s="2821"/>
      <c r="CA15" s="2884"/>
      <c r="CB15" s="2821"/>
      <c r="CC15" s="2884"/>
      <c r="CD15" s="2821"/>
      <c r="CE15" s="2884"/>
      <c r="CF15" s="2821"/>
      <c r="CG15" s="2884"/>
      <c r="CH15" s="2821"/>
      <c r="CI15" s="2884"/>
      <c r="CJ15" s="2821"/>
      <c r="CK15" s="2884"/>
      <c r="CL15" s="2902"/>
      <c r="CM15" s="2901"/>
      <c r="CN15" s="2901"/>
      <c r="CO15" s="2901"/>
      <c r="CP15" s="2901"/>
      <c r="CQ15" s="2901"/>
      <c r="CR15" s="2901"/>
      <c r="CS15" s="2901"/>
      <c r="CT15" s="2901"/>
      <c r="CU15" s="2901"/>
      <c r="CV15" s="2901"/>
      <c r="CW15" s="2901"/>
      <c r="CX15" s="2918"/>
      <c r="CY15" s="2821"/>
      <c r="CZ15" s="2884"/>
      <c r="DA15" s="2821"/>
      <c r="DB15" s="2884"/>
      <c r="DC15" s="2821"/>
      <c r="DD15" s="2884"/>
      <c r="DE15" s="2821"/>
      <c r="DF15" s="2884"/>
      <c r="DG15" s="2821"/>
      <c r="DH15" s="2884"/>
      <c r="DI15" s="2821"/>
      <c r="DJ15" s="2884"/>
      <c r="DK15" s="2902"/>
      <c r="DL15" s="2901"/>
      <c r="DM15" s="2901"/>
      <c r="DN15" s="2901"/>
      <c r="DO15" s="2901"/>
      <c r="DP15" s="2901"/>
      <c r="DQ15" s="2901"/>
      <c r="DR15" s="2901"/>
      <c r="DS15" s="2901"/>
      <c r="DT15" s="2901"/>
      <c r="DU15" s="2901"/>
      <c r="DV15" s="2901"/>
      <c r="DW15" s="2901"/>
      <c r="DX15" s="2901"/>
      <c r="DY15" s="2901"/>
      <c r="DZ15" s="2901"/>
      <c r="EA15" s="2901"/>
      <c r="EB15" s="2901"/>
      <c r="EC15" s="2901"/>
      <c r="ED15" s="2901"/>
      <c r="EE15" s="2901"/>
      <c r="EF15" s="2901"/>
      <c r="EG15" s="2901"/>
      <c r="EH15" s="2901"/>
      <c r="EI15" s="2901"/>
      <c r="EJ15" s="2901"/>
      <c r="EK15" s="2901"/>
      <c r="EL15" s="2901"/>
      <c r="EM15" s="2901"/>
      <c r="EN15" s="2901"/>
      <c r="EO15" s="2901"/>
      <c r="EP15" s="2901"/>
      <c r="EQ15" s="2901"/>
      <c r="ER15" s="2901"/>
      <c r="ES15" s="2901"/>
      <c r="ET15" s="2901"/>
      <c r="EU15" s="2901"/>
      <c r="EV15" s="2901"/>
      <c r="EW15" s="2901"/>
      <c r="EX15" s="2901"/>
      <c r="EY15" s="2901"/>
      <c r="EZ15" s="2901"/>
      <c r="FA15" s="2901"/>
      <c r="FB15" s="2901"/>
      <c r="FC15" s="2901"/>
      <c r="FD15" s="2901"/>
      <c r="FE15" s="2901"/>
      <c r="FF15" s="2901"/>
      <c r="FG15" s="2901"/>
      <c r="FH15" s="2901"/>
      <c r="FI15" s="2901"/>
      <c r="FJ15" s="2901"/>
      <c r="FK15" s="2901"/>
      <c r="FL15" s="2901"/>
      <c r="FM15" s="2901"/>
      <c r="FN15" s="2901"/>
      <c r="FO15" s="2901"/>
      <c r="FP15" s="2901"/>
      <c r="FQ15" s="2901"/>
      <c r="FR15" s="2901"/>
      <c r="FS15" s="2901"/>
      <c r="FT15" s="2901"/>
      <c r="FU15" s="2901"/>
      <c r="FV15" s="2901"/>
      <c r="FW15" s="2913"/>
      <c r="FX15" s="695"/>
      <c r="GC15" s="850">
        <v>36</v>
      </c>
    </row>
    <row r="16" spans="2:185" ht="12.75" customHeight="1">
      <c r="D16" s="862"/>
      <c r="E16" s="861"/>
      <c r="F16" s="2720"/>
      <c r="G16" s="2720"/>
      <c r="H16" s="2720"/>
      <c r="I16" s="2720"/>
      <c r="J16" s="2903"/>
      <c r="K16" s="2903"/>
      <c r="L16" s="2903"/>
      <c r="M16" s="2903"/>
      <c r="N16" s="2903"/>
      <c r="O16" s="2865" t="s">
        <v>827</v>
      </c>
      <c r="P16" s="2900"/>
      <c r="Q16" s="2865" t="s">
        <v>829</v>
      </c>
      <c r="R16" s="2900"/>
      <c r="S16" s="2865" t="s">
        <v>833</v>
      </c>
      <c r="T16" s="2900"/>
      <c r="U16" s="2865" t="s">
        <v>838</v>
      </c>
      <c r="V16" s="2900"/>
      <c r="W16" s="2865" t="s">
        <v>841</v>
      </c>
      <c r="X16" s="2900"/>
      <c r="Y16" s="2865" t="s">
        <v>845</v>
      </c>
      <c r="Z16" s="2900"/>
      <c r="AA16" s="2865" t="s">
        <v>848</v>
      </c>
      <c r="AB16" s="2900"/>
      <c r="AC16" s="2901"/>
      <c r="AD16" s="2901"/>
      <c r="AE16" s="2901"/>
      <c r="AF16" s="2901"/>
      <c r="AG16" s="2901"/>
      <c r="AH16" s="2901"/>
      <c r="AI16" s="2901"/>
      <c r="AJ16" s="2901"/>
      <c r="AK16" s="2901"/>
      <c r="AL16" s="2901"/>
      <c r="AM16" s="2901"/>
      <c r="AN16" s="2901"/>
      <c r="AO16" s="2901"/>
      <c r="AP16" s="2901"/>
      <c r="AQ16" s="2901"/>
      <c r="AR16" s="2901"/>
      <c r="AS16" s="2901"/>
      <c r="AT16" s="2901"/>
      <c r="AU16" s="2901"/>
      <c r="AV16" s="2901"/>
      <c r="AW16" s="2901"/>
      <c r="AX16" s="2901"/>
      <c r="AY16" s="2901"/>
      <c r="AZ16" s="2901"/>
      <c r="BA16" s="2901"/>
      <c r="BB16" s="2901"/>
      <c r="BC16" s="2901"/>
      <c r="BD16" s="2901"/>
      <c r="BE16" s="2901"/>
      <c r="BF16" s="2901"/>
      <c r="BG16" s="2901"/>
      <c r="BH16" s="2901"/>
      <c r="BI16" s="2901"/>
      <c r="BJ16" s="2901"/>
      <c r="BK16" s="2901"/>
      <c r="BL16" s="2901"/>
      <c r="BM16" s="2901"/>
      <c r="BN16" s="2901"/>
      <c r="BO16" s="2901"/>
      <c r="BP16" s="2901"/>
      <c r="BQ16" s="2901"/>
      <c r="BR16" s="2901"/>
      <c r="BS16" s="2918"/>
      <c r="BT16" s="2865" t="s">
        <v>560</v>
      </c>
      <c r="BU16" s="2900"/>
      <c r="BV16" s="2865" t="s">
        <v>560</v>
      </c>
      <c r="BW16" s="2900"/>
      <c r="BX16" s="2865" t="s">
        <v>560</v>
      </c>
      <c r="BY16" s="2900"/>
      <c r="BZ16" s="2865" t="s">
        <v>560</v>
      </c>
      <c r="CA16" s="2900"/>
      <c r="CB16" s="2865" t="s">
        <v>1110</v>
      </c>
      <c r="CC16" s="2900"/>
      <c r="CD16" s="2865" t="s">
        <v>560</v>
      </c>
      <c r="CE16" s="2900"/>
      <c r="CF16" s="2865" t="s">
        <v>1111</v>
      </c>
      <c r="CG16" s="2900"/>
      <c r="CH16" s="2865" t="s">
        <v>1112</v>
      </c>
      <c r="CI16" s="2900"/>
      <c r="CJ16" s="2865" t="s">
        <v>1112</v>
      </c>
      <c r="CK16" s="2900"/>
      <c r="CL16" s="2902"/>
      <c r="CM16" s="2901"/>
      <c r="CN16" s="2901"/>
      <c r="CO16" s="2901"/>
      <c r="CP16" s="2901"/>
      <c r="CQ16" s="2901"/>
      <c r="CR16" s="2901"/>
      <c r="CS16" s="2901"/>
      <c r="CT16" s="2901"/>
      <c r="CU16" s="2901"/>
      <c r="CV16" s="2901"/>
      <c r="CW16" s="2901"/>
      <c r="CX16" s="2918"/>
      <c r="CY16" s="2819" t="s">
        <v>560</v>
      </c>
      <c r="CZ16" s="2867"/>
      <c r="DA16" s="2819" t="s">
        <v>560</v>
      </c>
      <c r="DB16" s="2867"/>
      <c r="DC16" s="2819" t="s">
        <v>560</v>
      </c>
      <c r="DD16" s="2867"/>
      <c r="DE16" s="2865" t="s">
        <v>1110</v>
      </c>
      <c r="DF16" s="2900"/>
      <c r="DG16" s="2865" t="s">
        <v>1113</v>
      </c>
      <c r="DH16" s="2900"/>
      <c r="DI16" s="2865" t="s">
        <v>1113</v>
      </c>
      <c r="DJ16" s="2900"/>
      <c r="DK16" s="2902"/>
      <c r="DL16" s="2901"/>
      <c r="DM16" s="2901"/>
      <c r="DN16" s="2901"/>
      <c r="DO16" s="2901"/>
      <c r="DP16" s="2901"/>
      <c r="DQ16" s="2901"/>
      <c r="DR16" s="2901"/>
      <c r="DS16" s="2901"/>
      <c r="DT16" s="2901"/>
      <c r="DU16" s="2901"/>
      <c r="DV16" s="2901"/>
      <c r="DW16" s="2901"/>
      <c r="DX16" s="2901"/>
      <c r="DY16" s="2901"/>
      <c r="DZ16" s="2901"/>
      <c r="EA16" s="2901"/>
      <c r="EB16" s="2901"/>
      <c r="EC16" s="2901"/>
      <c r="ED16" s="2901"/>
      <c r="EE16" s="2901"/>
      <c r="EF16" s="2901"/>
      <c r="EG16" s="2901"/>
      <c r="EH16" s="2901"/>
      <c r="EI16" s="2901"/>
      <c r="EJ16" s="2901"/>
      <c r="EK16" s="2901"/>
      <c r="EL16" s="2901"/>
      <c r="EM16" s="2901"/>
      <c r="EN16" s="2901"/>
      <c r="EO16" s="2901"/>
      <c r="EP16" s="2901"/>
      <c r="EQ16" s="2901"/>
      <c r="ER16" s="2901"/>
      <c r="ES16" s="2901"/>
      <c r="ET16" s="2901"/>
      <c r="EU16" s="2901"/>
      <c r="EV16" s="2901"/>
      <c r="EW16" s="2901"/>
      <c r="EX16" s="2901"/>
      <c r="EY16" s="2901"/>
      <c r="EZ16" s="2901"/>
      <c r="FA16" s="2901"/>
      <c r="FB16" s="2901"/>
      <c r="FC16" s="2901"/>
      <c r="FD16" s="2901"/>
      <c r="FE16" s="2901"/>
      <c r="FF16" s="2901"/>
      <c r="FG16" s="2901"/>
      <c r="FH16" s="2901"/>
      <c r="FI16" s="2901"/>
      <c r="FJ16" s="2901"/>
      <c r="FK16" s="2901"/>
      <c r="FL16" s="2901"/>
      <c r="FM16" s="2901"/>
      <c r="FN16" s="2901"/>
      <c r="FO16" s="2901"/>
      <c r="FP16" s="2901"/>
      <c r="FQ16" s="2901"/>
      <c r="FR16" s="2901"/>
      <c r="FS16" s="2901"/>
      <c r="FT16" s="2901"/>
      <c r="FU16" s="2901"/>
      <c r="FV16" s="2901"/>
      <c r="FW16" s="2913"/>
      <c r="FX16" s="695"/>
      <c r="GC16" s="850">
        <v>12</v>
      </c>
    </row>
    <row r="17" spans="1:185" ht="15.75" customHeight="1">
      <c r="E17" s="861"/>
      <c r="F17" s="2720"/>
      <c r="G17" s="2720"/>
      <c r="H17" s="2720"/>
      <c r="I17" s="2720"/>
      <c r="J17" s="2903"/>
      <c r="K17" s="2903"/>
      <c r="L17" s="2903"/>
      <c r="M17" s="2903"/>
      <c r="N17" s="2903"/>
      <c r="O17" s="1109" t="s">
        <v>1114</v>
      </c>
      <c r="P17" s="1109" t="s">
        <v>1115</v>
      </c>
      <c r="Q17" s="1109" t="s">
        <v>1114</v>
      </c>
      <c r="R17" s="1109" t="s">
        <v>1115</v>
      </c>
      <c r="S17" s="1109" t="s">
        <v>1114</v>
      </c>
      <c r="T17" s="1109" t="s">
        <v>1115</v>
      </c>
      <c r="U17" s="1109" t="s">
        <v>1114</v>
      </c>
      <c r="V17" s="1109" t="s">
        <v>1115</v>
      </c>
      <c r="W17" s="1109" t="s">
        <v>1114</v>
      </c>
      <c r="X17" s="1109" t="s">
        <v>1115</v>
      </c>
      <c r="Y17" s="1109" t="s">
        <v>1114</v>
      </c>
      <c r="Z17" s="1109" t="s">
        <v>1115</v>
      </c>
      <c r="AA17" s="1109" t="s">
        <v>1114</v>
      </c>
      <c r="AB17" s="1109" t="s">
        <v>1115</v>
      </c>
      <c r="AC17" s="2901"/>
      <c r="AD17" s="2901"/>
      <c r="AE17" s="2901"/>
      <c r="AF17" s="2901"/>
      <c r="AG17" s="2901"/>
      <c r="AH17" s="2901"/>
      <c r="AI17" s="2901"/>
      <c r="AJ17" s="2901"/>
      <c r="AK17" s="2901"/>
      <c r="AL17" s="2901"/>
      <c r="AM17" s="2901"/>
      <c r="AN17" s="2901"/>
      <c r="AO17" s="2901"/>
      <c r="AP17" s="2901"/>
      <c r="AQ17" s="2901"/>
      <c r="AR17" s="2901"/>
      <c r="AS17" s="2901"/>
      <c r="AT17" s="2901"/>
      <c r="AU17" s="2901"/>
      <c r="AV17" s="2901"/>
      <c r="AW17" s="2901"/>
      <c r="AX17" s="2901"/>
      <c r="AY17" s="2901"/>
      <c r="AZ17" s="2901"/>
      <c r="BA17" s="2901"/>
      <c r="BB17" s="2901"/>
      <c r="BC17" s="2901"/>
      <c r="BD17" s="2901"/>
      <c r="BE17" s="2901"/>
      <c r="BF17" s="2901"/>
      <c r="BG17" s="2901"/>
      <c r="BH17" s="2901"/>
      <c r="BI17" s="2901"/>
      <c r="BJ17" s="2901"/>
      <c r="BK17" s="2901"/>
      <c r="BL17" s="2901"/>
      <c r="BM17" s="2901"/>
      <c r="BN17" s="2901"/>
      <c r="BO17" s="2901"/>
      <c r="BP17" s="2901"/>
      <c r="BQ17" s="2901"/>
      <c r="BR17" s="2901"/>
      <c r="BS17" s="2918"/>
      <c r="BT17" s="1109" t="s">
        <v>1114</v>
      </c>
      <c r="BU17" s="1109" t="s">
        <v>1115</v>
      </c>
      <c r="BV17" s="1109" t="s">
        <v>1114</v>
      </c>
      <c r="BW17" s="1109" t="s">
        <v>1115</v>
      </c>
      <c r="BX17" s="1109" t="s">
        <v>1114</v>
      </c>
      <c r="BY17" s="1109" t="s">
        <v>1115</v>
      </c>
      <c r="BZ17" s="1109" t="s">
        <v>1114</v>
      </c>
      <c r="CA17" s="1109" t="s">
        <v>1115</v>
      </c>
      <c r="CB17" s="1109" t="s">
        <v>1114</v>
      </c>
      <c r="CC17" s="1109" t="s">
        <v>1115</v>
      </c>
      <c r="CD17" s="1109" t="s">
        <v>1114</v>
      </c>
      <c r="CE17" s="1109" t="s">
        <v>1115</v>
      </c>
      <c r="CF17" s="1109" t="s">
        <v>1114</v>
      </c>
      <c r="CG17" s="1109" t="s">
        <v>1115</v>
      </c>
      <c r="CH17" s="1109" t="s">
        <v>1114</v>
      </c>
      <c r="CI17" s="1109" t="s">
        <v>1115</v>
      </c>
      <c r="CJ17" s="1109" t="s">
        <v>1114</v>
      </c>
      <c r="CK17" s="1109" t="s">
        <v>1115</v>
      </c>
      <c r="CL17" s="2902"/>
      <c r="CM17" s="2901"/>
      <c r="CN17" s="2901"/>
      <c r="CO17" s="2901"/>
      <c r="CP17" s="2901"/>
      <c r="CQ17" s="2901"/>
      <c r="CR17" s="2901"/>
      <c r="CS17" s="2901"/>
      <c r="CT17" s="2901"/>
      <c r="CU17" s="2901"/>
      <c r="CV17" s="2901"/>
      <c r="CW17" s="2901"/>
      <c r="CX17" s="2918"/>
      <c r="CY17" s="1109" t="s">
        <v>1114</v>
      </c>
      <c r="CZ17" s="1109" t="s">
        <v>1115</v>
      </c>
      <c r="DA17" s="1109" t="s">
        <v>1114</v>
      </c>
      <c r="DB17" s="1109" t="s">
        <v>1115</v>
      </c>
      <c r="DC17" s="1109" t="s">
        <v>1114</v>
      </c>
      <c r="DD17" s="1109" t="s">
        <v>1115</v>
      </c>
      <c r="DE17" s="1109" t="s">
        <v>1114</v>
      </c>
      <c r="DF17" s="1109" t="s">
        <v>1115</v>
      </c>
      <c r="DG17" s="1109" t="s">
        <v>1114</v>
      </c>
      <c r="DH17" s="1109" t="s">
        <v>1115</v>
      </c>
      <c r="DI17" s="1109" t="s">
        <v>1114</v>
      </c>
      <c r="DJ17" s="1109" t="s">
        <v>1115</v>
      </c>
      <c r="DK17" s="2902"/>
      <c r="DL17" s="2901"/>
      <c r="DM17" s="2901"/>
      <c r="DN17" s="2901"/>
      <c r="DO17" s="2901"/>
      <c r="DP17" s="2901"/>
      <c r="DQ17" s="2901"/>
      <c r="DR17" s="2901"/>
      <c r="DS17" s="2901"/>
      <c r="DT17" s="2901"/>
      <c r="DU17" s="2901"/>
      <c r="DV17" s="2901"/>
      <c r="DW17" s="2901"/>
      <c r="DX17" s="2901"/>
      <c r="DY17" s="2901"/>
      <c r="DZ17" s="2901"/>
      <c r="EA17" s="2901"/>
      <c r="EB17" s="2901"/>
      <c r="EC17" s="2901"/>
      <c r="ED17" s="2901"/>
      <c r="EE17" s="2901"/>
      <c r="EF17" s="2901"/>
      <c r="EG17" s="2901"/>
      <c r="EH17" s="2901"/>
      <c r="EI17" s="2901"/>
      <c r="EJ17" s="2901"/>
      <c r="EK17" s="2901"/>
      <c r="EL17" s="2901"/>
      <c r="EM17" s="2901"/>
      <c r="EN17" s="2901"/>
      <c r="EO17" s="2901"/>
      <c r="EP17" s="2901"/>
      <c r="EQ17" s="2901"/>
      <c r="ER17" s="2901"/>
      <c r="ES17" s="2901"/>
      <c r="ET17" s="2901"/>
      <c r="EU17" s="2901"/>
      <c r="EV17" s="2901"/>
      <c r="EW17" s="2901"/>
      <c r="EX17" s="2901"/>
      <c r="EY17" s="2901"/>
      <c r="EZ17" s="2901"/>
      <c r="FA17" s="2901"/>
      <c r="FB17" s="2901"/>
      <c r="FC17" s="2901"/>
      <c r="FD17" s="2901"/>
      <c r="FE17" s="2901"/>
      <c r="FF17" s="2901"/>
      <c r="FG17" s="2901"/>
      <c r="FH17" s="2901"/>
      <c r="FI17" s="2901"/>
      <c r="FJ17" s="2901"/>
      <c r="FK17" s="2901"/>
      <c r="FL17" s="2901"/>
      <c r="FM17" s="2901"/>
      <c r="FN17" s="2901"/>
      <c r="FO17" s="2901"/>
      <c r="FP17" s="2901"/>
      <c r="FQ17" s="2901"/>
      <c r="FR17" s="2901"/>
      <c r="FS17" s="2901"/>
      <c r="FT17" s="2901"/>
      <c r="FU17" s="2901"/>
      <c r="FV17" s="2901"/>
      <c r="FW17" s="2914"/>
      <c r="FX17" s="695"/>
      <c r="GC17" s="850">
        <v>15</v>
      </c>
    </row>
    <row r="18" spans="1:185" s="2560"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560"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560" customFormat="1" ht="11.25" hidden="1" customHeight="1">
      <c r="B20" s="864"/>
      <c r="D20" s="848"/>
      <c r="E20" s="863"/>
      <c r="F20" s="1115" t="s">
        <v>378</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560"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560" customFormat="1" ht="12.75" customHeight="1">
      <c r="A22" s="865"/>
      <c r="B22" s="865"/>
      <c r="C22" s="865"/>
      <c r="D22" s="865"/>
      <c r="E22" s="865"/>
      <c r="FX22" s="865"/>
      <c r="FY22" s="865"/>
      <c r="FZ22" s="865"/>
      <c r="GA22" s="865"/>
      <c r="GB22" s="865"/>
      <c r="GC22" s="846">
        <v>12</v>
      </c>
    </row>
    <row r="23" spans="1:185" s="2564"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81</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511" hidden="1" customWidth="1"/>
    <col min="2" max="2" width="9.140625" style="2513" hidden="1" customWidth="1"/>
    <col min="3" max="3" width="4" style="2558" customWidth="1"/>
    <col min="4" max="4" width="6" style="2513" customWidth="1"/>
    <col min="5" max="5" width="36" style="2513" customWidth="1"/>
    <col min="6" max="6" width="9" style="2513" customWidth="1"/>
    <col min="7" max="7" width="42.42578125" style="2513" hidden="1" customWidth="1"/>
    <col min="8" max="8" width="40.7109375" style="2513" customWidth="1"/>
    <col min="9" max="9" width="93" style="2519" customWidth="1"/>
    <col min="10" max="17" width="10" style="2513" customWidth="1"/>
    <col min="18" max="18" width="10" style="2559" customWidth="1"/>
    <col min="19" max="19" width="10.5703125" style="2513" hidden="1"/>
  </cols>
  <sheetData>
    <row r="1" spans="1:19" s="2519" customFormat="1" ht="15" hidden="1" customHeight="1">
      <c r="C1" s="607"/>
      <c r="H1" s="352">
        <v>4</v>
      </c>
      <c r="R1" s="355"/>
      <c r="S1" s="352" t="s">
        <v>14</v>
      </c>
    </row>
    <row r="2" spans="1:19" ht="22.5" hidden="1" customHeight="1">
      <c r="C2" s="1840" t="s">
        <v>427</v>
      </c>
      <c r="D2" s="474"/>
      <c r="E2" s="598"/>
      <c r="F2" s="1678" t="str">
        <f>IF(TEMPLATE_SPHERE="HEAT","Гкал/час","тыс. куб. м/сутки")</f>
        <v>Гкал/час</v>
      </c>
      <c r="G2" s="615"/>
      <c r="H2" s="615"/>
      <c r="I2" s="225"/>
      <c r="S2" s="440">
        <v>0</v>
      </c>
    </row>
    <row r="3" spans="1:19" s="2519" customFormat="1" ht="15" hidden="1" customHeight="1">
      <c r="C3" s="607"/>
      <c r="R3" s="355"/>
      <c r="S3" s="352">
        <v>0</v>
      </c>
    </row>
    <row r="4" spans="1:19" ht="15.75" customHeight="1">
      <c r="C4" s="112"/>
      <c r="D4" s="444"/>
      <c r="E4" s="444"/>
      <c r="F4" s="444"/>
      <c r="G4" s="444"/>
      <c r="H4" s="444"/>
      <c r="S4" s="440">
        <v>15</v>
      </c>
    </row>
    <row r="5" spans="1:19" ht="39.75" customHeight="1">
      <c r="C5" s="112"/>
      <c r="D5" s="274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749"/>
      <c r="F5" s="2749"/>
      <c r="G5" s="2749"/>
      <c r="H5" s="2749"/>
      <c r="I5" s="472"/>
      <c r="S5" s="440">
        <v>38</v>
      </c>
    </row>
    <row r="6" spans="1:19" ht="15.75" customHeight="1">
      <c r="C6" s="112"/>
      <c r="D6" s="2696" t="str">
        <f>IF(org=0,"Не определено",org)</f>
        <v>ООО "Ноябрьская ПГЭ"</v>
      </c>
      <c r="E6" s="2696"/>
      <c r="F6" s="2696"/>
      <c r="G6" s="2696"/>
      <c r="H6" s="2696"/>
      <c r="I6" s="472"/>
      <c r="S6" s="440">
        <v>15</v>
      </c>
    </row>
    <row r="7" spans="1:19" s="2513" customFormat="1" ht="15.75" customHeight="1">
      <c r="A7" s="692"/>
      <c r="C7" s="112"/>
      <c r="D7" s="611"/>
      <c r="E7" s="611"/>
      <c r="F7" s="611"/>
      <c r="G7" s="611"/>
      <c r="H7" s="687"/>
      <c r="I7" s="472"/>
      <c r="R7" s="610"/>
      <c r="S7" s="691">
        <v>15</v>
      </c>
    </row>
    <row r="8" spans="1:19" ht="1.1499999999999999" customHeight="1">
      <c r="C8" s="112"/>
      <c r="D8" s="444"/>
      <c r="E8" s="444"/>
      <c r="F8" s="444"/>
      <c r="G8" s="444"/>
      <c r="H8" s="472" t="s">
        <v>116</v>
      </c>
      <c r="S8" s="440">
        <v>1</v>
      </c>
    </row>
    <row r="9" spans="1:19" ht="15.75" customHeight="1">
      <c r="C9" s="112"/>
      <c r="D9" s="646"/>
      <c r="E9" s="2849" t="s">
        <v>104</v>
      </c>
      <c r="F9" s="2850"/>
      <c r="G9" s="745" t="str">
        <f>IF(G8="","",INDEX(DIFFERENTIATION_UNMERGE_VD,MATCH(G8,DIFFERENTIATION_ID_DIFF,0)))</f>
        <v/>
      </c>
      <c r="H9" s="745">
        <f>IF(H8="","",INDEX(DIFFERENTIATION_UNMERGE_VD,MATCH(H8,DIFFERENTIATION_ID_DIFF,0)))</f>
        <v>0</v>
      </c>
      <c r="I9" s="2638" t="s">
        <v>303</v>
      </c>
      <c r="S9" s="440">
        <v>15</v>
      </c>
    </row>
    <row r="10" spans="1:19" s="2513" customFormat="1" ht="15.75" customHeight="1">
      <c r="A10" s="692"/>
      <c r="C10" s="112"/>
      <c r="D10" s="646"/>
      <c r="E10" s="2849" t="s">
        <v>566</v>
      </c>
      <c r="F10" s="2850"/>
      <c r="G10" s="745" t="str">
        <f>IF(G8="","",INDEX(DIFFERENTIATION_UNMERGE_AREA,MATCH(G8,DIFFERENTIATION_ID_DIFF,0)))</f>
        <v/>
      </c>
      <c r="H10" s="745" t="str">
        <f>IF(H8="","",INDEX(DIFFERENTIATION_UNMERGE_AREA,MATCH(H8,DIFFERENTIATION_ID_DIFF,0)))</f>
        <v/>
      </c>
      <c r="I10" s="2638"/>
      <c r="R10" s="610"/>
      <c r="S10" s="691">
        <v>15</v>
      </c>
    </row>
    <row r="11" spans="1:19" s="2513" customFormat="1" ht="15.75" customHeight="1">
      <c r="A11" s="692"/>
      <c r="C11" s="112"/>
      <c r="D11" s="646"/>
      <c r="E11" s="2849" t="s">
        <v>567</v>
      </c>
      <c r="F11" s="2850"/>
      <c r="G11" s="745" t="str">
        <f>IF(G8="","",INDEX(DIFFERENTIATION_UNMERGE_SYSTEM,MATCH(G8,DIFFERENTIATION_ID_DIFF,0)))</f>
        <v/>
      </c>
      <c r="H11" s="745" t="str">
        <f>IF(H8="","",INDEX(DIFFERENTIATION_UNMERGE_SYSTEM,MATCH(H8,DIFFERENTIATION_ID_DIFF,0)))</f>
        <v>без дифференциации</v>
      </c>
      <c r="I11" s="2638"/>
      <c r="R11" s="610"/>
      <c r="S11" s="691">
        <v>15</v>
      </c>
    </row>
    <row r="12" spans="1:19" s="2513" customFormat="1" ht="15.75" customHeight="1">
      <c r="A12" s="692"/>
      <c r="C12" s="112"/>
      <c r="D12" s="2851" t="s">
        <v>302</v>
      </c>
      <c r="E12" s="2852"/>
      <c r="F12" s="2852"/>
      <c r="G12" s="811"/>
      <c r="H12" s="811"/>
      <c r="I12" s="2638"/>
      <c r="R12" s="610"/>
      <c r="S12" s="691">
        <v>15</v>
      </c>
    </row>
    <row r="13" spans="1:19" ht="35.65" customHeight="1">
      <c r="C13" s="112"/>
      <c r="D13" s="694" t="s">
        <v>87</v>
      </c>
      <c r="E13" s="693" t="s">
        <v>304</v>
      </c>
      <c r="F13" s="693" t="s">
        <v>568</v>
      </c>
      <c r="G13" s="737" t="s">
        <v>305</v>
      </c>
      <c r="H13" s="689" t="s">
        <v>305</v>
      </c>
      <c r="I13" s="2638"/>
      <c r="S13" s="440">
        <v>34</v>
      </c>
    </row>
    <row r="14" spans="1:19" ht="15" hidden="1" customHeight="1">
      <c r="C14" s="112"/>
      <c r="D14" s="528" t="s">
        <v>108</v>
      </c>
      <c r="E14" s="528" t="s">
        <v>109</v>
      </c>
      <c r="F14" s="528" t="s">
        <v>89</v>
      </c>
      <c r="G14" s="594" t="str">
        <f>G1&amp;".1"</f>
        <v>.1</v>
      </c>
      <c r="H14" s="594" t="str">
        <f>H1&amp;".1"</f>
        <v>4.1</v>
      </c>
      <c r="I14" s="225"/>
      <c r="S14" s="440">
        <v>0</v>
      </c>
    </row>
    <row r="15" spans="1:19" ht="15.75" customHeight="1">
      <c r="A15" s="440"/>
      <c r="C15" s="461"/>
      <c r="D15" s="456">
        <v>1</v>
      </c>
      <c r="E15" s="1842" t="str">
        <f>TP_P_A</f>
        <v>Количество поданных заявок</v>
      </c>
      <c r="F15" s="456" t="s">
        <v>1116</v>
      </c>
      <c r="G15" s="620"/>
      <c r="H15" s="620"/>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2" t="str">
        <f>TP_P_B</f>
        <v>Количество рассмотренных заявок</v>
      </c>
      <c r="F16" s="456" t="s">
        <v>1116</v>
      </c>
      <c r="G16" s="620"/>
      <c r="H16" s="620"/>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1116</v>
      </c>
      <c r="G17" s="620"/>
      <c r="H17" s="620"/>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2" t="str">
        <f>TP_P_V_1</f>
        <v>Причины отказа в заключении договора о подключении (технологическом присоединении) к системе теплоснабжения</v>
      </c>
      <c r="F18" s="456" t="s">
        <v>308</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2"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1117</v>
      </c>
      <c r="E20" s="623"/>
      <c r="F20" s="444"/>
      <c r="G20" s="444"/>
      <c r="H20" s="444"/>
      <c r="I20" s="1680"/>
      <c r="S20" s="440">
        <v>0</v>
      </c>
    </row>
    <row r="21" spans="1:19" ht="29.25" customHeight="1">
      <c r="C21" s="386"/>
      <c r="D21" s="474" t="s">
        <v>315</v>
      </c>
      <c r="E21" s="605"/>
      <c r="F21" s="1678" t="str">
        <f>IF(TEMPLATE_SPHERE="HEAT","Гкал/час","тыс. куб. м/сутки")</f>
        <v>Гкал/час</v>
      </c>
      <c r="G21" s="615"/>
      <c r="H21" s="615"/>
      <c r="I21" s="269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1118</v>
      </c>
      <c r="F22" s="507"/>
      <c r="G22" s="507"/>
      <c r="H22" s="507"/>
      <c r="I22" s="2694"/>
      <c r="R22" s="440"/>
      <c r="S22" s="440">
        <v>15</v>
      </c>
    </row>
    <row r="23" spans="1:19" ht="22.5" hidden="1" customHeight="1">
      <c r="A23" s="384" t="s">
        <v>81</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547" hidden="1" customWidth="1"/>
    <col min="2" max="2" width="9.140625" style="2519" hidden="1" customWidth="1"/>
    <col min="3" max="3" width="3" style="2548" customWidth="1"/>
    <col min="4" max="4" width="6" style="2513" customWidth="1"/>
    <col min="5" max="6" width="64" style="2513" customWidth="1"/>
    <col min="7" max="7" width="140" style="2513" customWidth="1"/>
    <col min="8" max="8" width="10" style="2513" customWidth="1"/>
    <col min="9" max="10" width="10" style="2526" customWidth="1"/>
    <col min="11" max="16" width="10" style="2513" customWidth="1"/>
    <col min="17" max="17" width="10.5703125" style="2513"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67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675"/>
      <c r="F5" s="2675"/>
      <c r="G5" s="2676"/>
      <c r="Q5" s="22">
        <v>28</v>
      </c>
    </row>
    <row r="6" spans="1:17" s="2513" customFormat="1" ht="18.75" customHeight="1">
      <c r="A6" s="806"/>
      <c r="B6" s="352"/>
      <c r="C6" s="311"/>
      <c r="D6" s="2729" t="str">
        <f>IF(org=0,"Не определено",org)</f>
        <v>ООО "Ноябрьская ПГЭ"</v>
      </c>
      <c r="E6" s="2730"/>
      <c r="F6" s="2730"/>
      <c r="G6" s="2731"/>
      <c r="I6" s="435"/>
      <c r="J6" s="435"/>
      <c r="Q6" s="691">
        <v>18</v>
      </c>
    </row>
    <row r="7" spans="1:17" ht="14.65" customHeight="1">
      <c r="C7" s="35"/>
      <c r="D7" s="23"/>
      <c r="E7" s="34"/>
      <c r="F7" s="687"/>
      <c r="G7" s="129"/>
      <c r="Q7" s="22">
        <v>14</v>
      </c>
    </row>
    <row r="8" spans="1:17" s="2513" customFormat="1" ht="1.1499999999999999" customHeight="1">
      <c r="A8" s="1587"/>
      <c r="B8" s="1078"/>
      <c r="C8" s="311"/>
      <c r="D8" s="298"/>
      <c r="E8" s="324"/>
      <c r="F8" s="687"/>
      <c r="G8" s="129"/>
      <c r="I8" s="1542"/>
      <c r="J8" s="1542"/>
      <c r="Q8" s="1549">
        <v>1</v>
      </c>
    </row>
    <row r="9" spans="1:17" ht="14.65" customHeight="1">
      <c r="C9" s="35"/>
      <c r="D9" s="2724" t="s">
        <v>302</v>
      </c>
      <c r="E9" s="2724"/>
      <c r="F9" s="2724"/>
      <c r="G9" s="2868" t="s">
        <v>303</v>
      </c>
      <c r="Q9" s="22">
        <v>14</v>
      </c>
    </row>
    <row r="10" spans="1:17" ht="24" customHeight="1">
      <c r="C10" s="35"/>
      <c r="D10" s="44" t="s">
        <v>87</v>
      </c>
      <c r="E10" s="47" t="s">
        <v>304</v>
      </c>
      <c r="F10" s="47" t="s">
        <v>392</v>
      </c>
      <c r="G10" s="2868"/>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308</v>
      </c>
      <c r="G12" s="88"/>
      <c r="Q12" s="22">
        <v>62</v>
      </c>
    </row>
    <row r="13" spans="1:17" ht="24" customHeight="1">
      <c r="A13" s="128"/>
      <c r="C13" s="35"/>
      <c r="D13" s="84" t="s">
        <v>1023</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308</v>
      </c>
      <c r="G13" s="88"/>
      <c r="Q13" s="22">
        <v>23</v>
      </c>
    </row>
    <row r="14" spans="1:17" ht="14.65" customHeight="1">
      <c r="A14" s="128"/>
      <c r="C14" s="35"/>
      <c r="D14" s="84" t="s">
        <v>1059</v>
      </c>
      <c r="E14" s="131"/>
      <c r="F14" s="149"/>
      <c r="G14" s="269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1119</v>
      </c>
      <c r="F15" s="137"/>
      <c r="G15" s="2694"/>
      <c r="Q15" s="22">
        <v>15</v>
      </c>
    </row>
    <row r="16" spans="1:17" ht="14.65" customHeight="1">
      <c r="A16" s="128"/>
      <c r="C16" s="35"/>
      <c r="D16" s="84" t="s">
        <v>1025</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308</v>
      </c>
      <c r="G16" s="273"/>
      <c r="Q16" s="22">
        <v>14</v>
      </c>
    </row>
    <row r="17" spans="1:17" ht="14.65" customHeight="1">
      <c r="A17" s="128"/>
      <c r="C17" s="35"/>
      <c r="D17" s="84" t="s">
        <v>1067</v>
      </c>
      <c r="E17" s="131"/>
      <c r="F17" s="320"/>
      <c r="G17" s="269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513" customFormat="1" ht="21.95" customHeight="1">
      <c r="A18" s="279"/>
      <c r="B18" s="83"/>
      <c r="C18" s="243"/>
      <c r="D18" s="283"/>
      <c r="E18" s="284" t="s">
        <v>1120</v>
      </c>
      <c r="F18" s="274"/>
      <c r="G18" s="2694"/>
      <c r="I18" s="285"/>
      <c r="J18" s="285"/>
      <c r="Q18" s="278">
        <v>21</v>
      </c>
    </row>
    <row r="19" spans="1:17" s="2513" customFormat="1" ht="256.5" hidden="1" customHeight="1">
      <c r="A19" s="279"/>
      <c r="B19" s="352"/>
      <c r="C19" s="311"/>
      <c r="D19" s="808" t="s">
        <v>1027</v>
      </c>
      <c r="E19" s="807" t="s">
        <v>1121</v>
      </c>
      <c r="F19" s="320"/>
      <c r="G19" s="273" t="s">
        <v>1122</v>
      </c>
      <c r="I19" s="435"/>
      <c r="J19" s="435"/>
      <c r="Q19" s="691">
        <v>0</v>
      </c>
    </row>
    <row r="20" spans="1:17" s="2513" customFormat="1" ht="14.65" customHeight="1">
      <c r="A20" s="279"/>
      <c r="B20" s="83"/>
      <c r="C20" s="243"/>
      <c r="D20" s="809">
        <v>2</v>
      </c>
      <c r="E20" s="266" t="s">
        <v>1123</v>
      </c>
      <c r="F20" s="134" t="s">
        <v>308</v>
      </c>
      <c r="G20" s="273"/>
      <c r="I20" s="285"/>
      <c r="J20" s="285"/>
      <c r="Q20" s="278">
        <v>14</v>
      </c>
    </row>
    <row r="21" spans="1:17" s="2513" customFormat="1" ht="18.75" hidden="1" customHeight="1">
      <c r="A21" s="279"/>
      <c r="B21" s="83"/>
      <c r="C21" s="243"/>
      <c r="D21" s="269" t="s">
        <v>638</v>
      </c>
      <c r="E21" s="268"/>
      <c r="F21" s="267"/>
      <c r="G21" s="277"/>
      <c r="H21" s="270"/>
      <c r="I21" s="285"/>
      <c r="J21" s="285"/>
      <c r="Q21" s="278">
        <v>0</v>
      </c>
    </row>
    <row r="22" spans="1:17" ht="15.75" customHeight="1">
      <c r="A22" s="128"/>
      <c r="C22" s="35"/>
      <c r="D22" s="48"/>
      <c r="E22" s="139" t="s">
        <v>324</v>
      </c>
      <c r="F22" s="274"/>
      <c r="G22" s="275"/>
      <c r="Q22" s="22">
        <v>15</v>
      </c>
    </row>
    <row r="23" spans="1:17" s="2513" customFormat="1" ht="22.5" hidden="1" customHeight="1">
      <c r="A23" s="279"/>
      <c r="B23" s="1078"/>
      <c r="C23" s="311"/>
      <c r="D23" s="1591" t="s">
        <v>109</v>
      </c>
      <c r="E23" s="133" t="s">
        <v>1124</v>
      </c>
      <c r="F23" s="1588" t="s">
        <v>308</v>
      </c>
      <c r="G23" s="281"/>
      <c r="I23" s="1542"/>
      <c r="J23" s="1542"/>
      <c r="Q23" s="1549">
        <v>0</v>
      </c>
    </row>
    <row r="24" spans="1:17" s="2513" customFormat="1" ht="14.25" hidden="1" customHeight="1">
      <c r="A24" s="279"/>
      <c r="B24" s="1078"/>
      <c r="C24" s="311"/>
      <c r="D24" s="1591" t="s">
        <v>710</v>
      </c>
      <c r="E24" s="1590" t="s">
        <v>1125</v>
      </c>
      <c r="F24" s="1588" t="s">
        <v>308</v>
      </c>
      <c r="G24" s="273"/>
      <c r="I24" s="1542"/>
      <c r="J24" s="1542"/>
      <c r="Q24" s="1549">
        <v>0</v>
      </c>
    </row>
    <row r="25" spans="1:17" s="2513" customFormat="1" ht="14.25" hidden="1" customHeight="1">
      <c r="A25" s="279"/>
      <c r="B25" s="1078"/>
      <c r="C25" s="311"/>
      <c r="D25" s="1591" t="s">
        <v>713</v>
      </c>
      <c r="E25" s="131"/>
      <c r="F25" s="320"/>
      <c r="G25" s="2692" t="s">
        <v>1126</v>
      </c>
      <c r="I25" s="1542"/>
      <c r="J25" s="1542"/>
      <c r="Q25" s="1549">
        <v>0</v>
      </c>
    </row>
    <row r="26" spans="1:17" s="2513" customFormat="1" ht="22.5" hidden="1" customHeight="1">
      <c r="A26" s="279"/>
      <c r="B26" s="1078"/>
      <c r="C26" s="311"/>
      <c r="D26" s="283"/>
      <c r="E26" s="284" t="s">
        <v>1127</v>
      </c>
      <c r="F26" s="274"/>
      <c r="G26" s="2694"/>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546" hidden="1" customWidth="1"/>
    <col min="2" max="2" width="9.140625" style="2519" hidden="1" customWidth="1"/>
    <col min="3" max="3" width="3" style="2548" customWidth="1"/>
    <col min="4" max="4" width="6" style="2513" customWidth="1"/>
    <col min="5" max="5" width="63" style="2513" customWidth="1"/>
    <col min="6" max="6" width="1.7109375" style="2513" hidden="1" customWidth="1"/>
    <col min="7" max="8" width="35" style="2513" customWidth="1"/>
    <col min="9" max="9" width="91" style="2513" customWidth="1"/>
    <col min="10" max="10" width="68" style="2513" customWidth="1"/>
    <col min="11" max="12" width="10" style="2526" customWidth="1"/>
    <col min="13" max="13" width="10.5703125" style="2513" hidden="1"/>
  </cols>
  <sheetData>
    <row r="1" spans="1:13" ht="22.5" hidden="1" customHeight="1">
      <c r="M1" s="22" t="s">
        <v>14</v>
      </c>
    </row>
    <row r="2" spans="1:13" s="2513" customFormat="1" ht="18.75" hidden="1" customHeight="1">
      <c r="A2" s="1601"/>
      <c r="B2" s="1078"/>
      <c r="C2" s="1647" t="s">
        <v>427</v>
      </c>
      <c r="D2" s="1591"/>
      <c r="E2" s="135"/>
      <c r="F2" s="1588"/>
      <c r="G2" s="1588" t="s">
        <v>308</v>
      </c>
      <c r="H2" s="1079"/>
      <c r="K2" s="1542"/>
      <c r="L2" s="1542"/>
      <c r="M2" s="1549">
        <v>0</v>
      </c>
    </row>
    <row r="3" spans="1:13" s="2513" customFormat="1" ht="14.25" hidden="1" customHeight="1">
      <c r="A3" s="1280"/>
      <c r="B3" s="1078"/>
      <c r="C3" s="280"/>
      <c r="K3" s="1542"/>
      <c r="L3" s="1542"/>
      <c r="M3" s="1549">
        <v>0</v>
      </c>
    </row>
    <row r="4" spans="1:13" s="2513" customFormat="1" ht="18.75" hidden="1" customHeight="1">
      <c r="A4" s="1601"/>
      <c r="B4" s="1078"/>
      <c r="C4" s="1647" t="s">
        <v>427</v>
      </c>
      <c r="D4" s="1591"/>
      <c r="E4" s="141" t="s">
        <v>1128</v>
      </c>
      <c r="F4" s="1588"/>
      <c r="G4" s="193"/>
      <c r="H4" s="1588" t="s">
        <v>308</v>
      </c>
      <c r="K4" s="1542"/>
      <c r="L4" s="1542"/>
      <c r="M4" s="1549">
        <v>0</v>
      </c>
    </row>
    <row r="5" spans="1:13" s="2513" customFormat="1" ht="14.25" hidden="1" customHeight="1">
      <c r="A5" s="1280"/>
      <c r="B5" s="1078"/>
      <c r="C5" s="280"/>
      <c r="K5" s="1542"/>
      <c r="L5" s="1542"/>
      <c r="M5" s="1549">
        <v>0</v>
      </c>
    </row>
    <row r="6" spans="1:13" s="2513" customFormat="1" ht="18.75" hidden="1" customHeight="1">
      <c r="A6" s="1601"/>
      <c r="B6" s="1078"/>
      <c r="C6" s="1647" t="s">
        <v>427</v>
      </c>
      <c r="D6" s="1591"/>
      <c r="E6" s="142" t="s">
        <v>1129</v>
      </c>
      <c r="F6" s="1588"/>
      <c r="G6" s="193"/>
      <c r="H6" s="1588" t="s">
        <v>308</v>
      </c>
      <c r="K6" s="1542"/>
      <c r="L6" s="1542"/>
      <c r="M6" s="1549">
        <v>0</v>
      </c>
    </row>
    <row r="7" spans="1:13" s="2513" customFormat="1" ht="14.25" hidden="1" customHeight="1">
      <c r="A7" s="1280"/>
      <c r="B7" s="1078"/>
      <c r="C7" s="280"/>
      <c r="K7" s="1542"/>
      <c r="L7" s="1542"/>
      <c r="M7" s="1549">
        <v>0</v>
      </c>
    </row>
    <row r="8" spans="1:13" s="2513" customFormat="1" ht="18.75" hidden="1" customHeight="1">
      <c r="A8" s="1601"/>
      <c r="B8" s="1078"/>
      <c r="C8" s="1647" t="s">
        <v>427</v>
      </c>
      <c r="D8" s="1591"/>
      <c r="E8" s="142" t="s">
        <v>1130</v>
      </c>
      <c r="F8" s="1588"/>
      <c r="G8" s="193"/>
      <c r="H8" s="1588" t="s">
        <v>308</v>
      </c>
      <c r="K8" s="1542"/>
      <c r="L8" s="1542"/>
      <c r="M8" s="1549">
        <v>0</v>
      </c>
    </row>
    <row r="9" spans="1:13" s="2513" customFormat="1" ht="14.25" hidden="1" customHeight="1">
      <c r="A9" s="1280"/>
      <c r="B9" s="1078"/>
      <c r="C9" s="280"/>
      <c r="K9" s="1542"/>
      <c r="L9" s="1542"/>
      <c r="M9" s="1549">
        <v>0</v>
      </c>
    </row>
    <row r="10" spans="1:13" s="2513" customFormat="1" ht="18.75" hidden="1" customHeight="1">
      <c r="A10" s="1601"/>
      <c r="B10" s="1078"/>
      <c r="C10" s="1647" t="s">
        <v>427</v>
      </c>
      <c r="D10" s="1591"/>
      <c r="E10" s="142" t="s">
        <v>1131</v>
      </c>
      <c r="F10" s="1588"/>
      <c r="G10" s="1592"/>
      <c r="H10" s="1588" t="s">
        <v>308</v>
      </c>
      <c r="K10" s="1542"/>
      <c r="L10" s="1542" t="s">
        <v>1132</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67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675"/>
      <c r="F14" s="2675"/>
      <c r="G14" s="2675"/>
      <c r="H14" s="2676"/>
      <c r="J14" s="1549"/>
      <c r="M14" s="22">
        <v>28</v>
      </c>
    </row>
    <row r="15" spans="1:13" s="2513" customFormat="1" ht="14.65" customHeight="1">
      <c r="A15" s="1280"/>
      <c r="B15" s="1078"/>
      <c r="C15" s="311"/>
      <c r="D15" s="2729" t="str">
        <f>IF(org=0,"Не определено",org)</f>
        <v>ООО "Ноябрьская ПГЭ"</v>
      </c>
      <c r="E15" s="2730"/>
      <c r="F15" s="2730"/>
      <c r="G15" s="2730"/>
      <c r="H15" s="2731"/>
      <c r="J15" s="777"/>
      <c r="K15" s="1542"/>
      <c r="L15" s="1542"/>
      <c r="M15" s="1549">
        <v>14</v>
      </c>
    </row>
    <row r="16" spans="1:13" ht="14.65" customHeight="1">
      <c r="C16" s="35"/>
      <c r="D16" s="23"/>
      <c r="E16" s="34"/>
      <c r="F16" s="34"/>
      <c r="G16" s="34"/>
      <c r="H16" s="687"/>
      <c r="I16" s="129"/>
      <c r="M16" s="22">
        <v>14</v>
      </c>
    </row>
    <row r="17" spans="1:13" s="2513" customFormat="1" ht="14.25" hidden="1" customHeight="1">
      <c r="A17" s="1280"/>
      <c r="B17" s="1078"/>
      <c r="C17" s="311"/>
      <c r="D17" s="298"/>
      <c r="E17" s="324"/>
      <c r="F17" s="324"/>
      <c r="G17" s="324"/>
      <c r="H17" s="687"/>
      <c r="I17" s="129"/>
      <c r="K17" s="1542"/>
      <c r="L17" s="1542"/>
      <c r="M17" s="1549">
        <v>0</v>
      </c>
    </row>
    <row r="18" spans="1:13" ht="21.95" customHeight="1">
      <c r="C18" s="35"/>
      <c r="D18" s="2724" t="s">
        <v>302</v>
      </c>
      <c r="E18" s="2724"/>
      <c r="F18" s="2724"/>
      <c r="G18" s="2724"/>
      <c r="H18" s="2724"/>
      <c r="I18" s="2868" t="s">
        <v>303</v>
      </c>
      <c r="M18" s="22">
        <v>21</v>
      </c>
    </row>
    <row r="19" spans="1:13" ht="21.95" customHeight="1">
      <c r="C19" s="35"/>
      <c r="D19" s="44" t="s">
        <v>87</v>
      </c>
      <c r="E19" s="47" t="s">
        <v>304</v>
      </c>
      <c r="F19" s="47"/>
      <c r="G19" s="47" t="s">
        <v>305</v>
      </c>
      <c r="H19" s="47" t="s">
        <v>392</v>
      </c>
      <c r="I19" s="2868"/>
      <c r="M19" s="22">
        <v>21</v>
      </c>
    </row>
    <row r="20" spans="1:13" ht="12" hidden="1" customHeight="1">
      <c r="C20" s="35"/>
      <c r="D20" s="26"/>
      <c r="E20" s="26"/>
      <c r="F20" s="26"/>
      <c r="G20" s="26"/>
      <c r="H20" s="26"/>
      <c r="I20" s="26"/>
      <c r="M20" s="22">
        <v>0</v>
      </c>
    </row>
    <row r="21" spans="1:13" ht="14.65" customHeight="1">
      <c r="A21" s="1601"/>
      <c r="C21" s="35"/>
      <c r="D21" s="84">
        <v>1</v>
      </c>
      <c r="E21" s="2919" t="s">
        <v>1133</v>
      </c>
      <c r="F21" s="2919"/>
      <c r="G21" s="2919"/>
      <c r="H21" s="2919"/>
      <c r="I21" s="144"/>
      <c r="M21" s="22">
        <v>14</v>
      </c>
    </row>
    <row r="22" spans="1:13" ht="21" customHeight="1">
      <c r="A22" s="1601"/>
      <c r="C22" s="35"/>
      <c r="D22" s="84" t="s">
        <v>1023</v>
      </c>
      <c r="E22" s="130" t="s">
        <v>1134</v>
      </c>
      <c r="F22" s="134"/>
      <c r="G22" s="1654"/>
      <c r="H22" s="134" t="s">
        <v>308</v>
      </c>
      <c r="I22" s="88" t="s">
        <v>1135</v>
      </c>
      <c r="M22" s="22">
        <v>20</v>
      </c>
    </row>
    <row r="23" spans="1:13" ht="60" customHeight="1">
      <c r="A23" s="1601"/>
      <c r="C23" s="35"/>
      <c r="D23" s="84" t="s">
        <v>1025</v>
      </c>
      <c r="E23" s="130" t="s">
        <v>1136</v>
      </c>
      <c r="F23" s="134"/>
      <c r="G23" s="193"/>
      <c r="H23" s="149"/>
      <c r="I23" s="194" t="s">
        <v>1137</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308</v>
      </c>
      <c r="H24" s="149"/>
      <c r="I24" s="195" t="s">
        <v>633</v>
      </c>
      <c r="M24" s="22">
        <v>14</v>
      </c>
    </row>
    <row r="25" spans="1:13" ht="48.2" customHeight="1">
      <c r="A25" s="1601"/>
      <c r="C25" s="35"/>
      <c r="D25" s="84">
        <v>3</v>
      </c>
      <c r="E25" s="291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919"/>
      <c r="G25" s="2919"/>
      <c r="H25" s="2919"/>
      <c r="I25" s="192"/>
      <c r="M25" s="22">
        <v>46</v>
      </c>
    </row>
    <row r="26" spans="1:13" ht="14.65" customHeight="1">
      <c r="A26" s="1601"/>
      <c r="C26" s="35"/>
      <c r="D26" s="84" t="s">
        <v>326</v>
      </c>
      <c r="E26" s="135"/>
      <c r="F26" s="134"/>
      <c r="G26" s="134" t="s">
        <v>308</v>
      </c>
      <c r="H26" s="149"/>
      <c r="I26" s="2692" t="s">
        <v>1138</v>
      </c>
      <c r="M26" s="22">
        <v>14</v>
      </c>
    </row>
    <row r="27" spans="1:13" ht="15.75" customHeight="1">
      <c r="A27" s="1601" t="s">
        <v>108</v>
      </c>
      <c r="C27" s="35"/>
      <c r="D27" s="48"/>
      <c r="E27" s="139" t="s">
        <v>324</v>
      </c>
      <c r="F27" s="140"/>
      <c r="G27" s="140"/>
      <c r="H27" s="137"/>
      <c r="I27" s="2694"/>
      <c r="M27" s="22">
        <v>15</v>
      </c>
    </row>
    <row r="28" spans="1:13" ht="39.75" customHeight="1">
      <c r="A28" s="1601"/>
      <c r="B28" s="83">
        <v>3</v>
      </c>
      <c r="C28" s="35"/>
      <c r="D28" s="84">
        <v>4</v>
      </c>
      <c r="E28" s="291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919"/>
      <c r="G28" s="2919"/>
      <c r="H28" s="2919"/>
      <c r="I28" s="192"/>
      <c r="M28" s="22">
        <v>38</v>
      </c>
    </row>
    <row r="29" spans="1:13" ht="21" customHeight="1">
      <c r="A29" s="1601"/>
      <c r="C29" s="35"/>
      <c r="D29" s="84" t="s">
        <v>755</v>
      </c>
      <c r="E29" s="141" t="s">
        <v>1128</v>
      </c>
      <c r="F29" s="134"/>
      <c r="G29" s="193"/>
      <c r="H29" s="134" t="s">
        <v>308</v>
      </c>
      <c r="I29" s="2692" t="s">
        <v>1139</v>
      </c>
      <c r="M29" s="22">
        <v>20</v>
      </c>
    </row>
    <row r="30" spans="1:13" ht="15.75" customHeight="1">
      <c r="A30" s="1601" t="s">
        <v>109</v>
      </c>
      <c r="C30" s="35"/>
      <c r="D30" s="48"/>
      <c r="E30" s="139" t="s">
        <v>324</v>
      </c>
      <c r="F30" s="140"/>
      <c r="G30" s="140"/>
      <c r="H30" s="137"/>
      <c r="I30" s="2694"/>
      <c r="M30" s="22">
        <v>15</v>
      </c>
    </row>
    <row r="31" spans="1:13" ht="31.5" customHeight="1">
      <c r="A31" s="1601"/>
      <c r="B31" s="83">
        <v>3</v>
      </c>
      <c r="C31" s="35"/>
      <c r="D31" s="84">
        <v>5</v>
      </c>
      <c r="E31" s="291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919"/>
      <c r="G31" s="2919"/>
      <c r="H31" s="2919"/>
      <c r="I31" s="192"/>
      <c r="M31" s="22">
        <v>30</v>
      </c>
    </row>
    <row r="32" spans="1:13" ht="27.4" customHeight="1">
      <c r="A32" s="1601"/>
      <c r="C32" s="35"/>
      <c r="D32" s="84" t="s">
        <v>315</v>
      </c>
      <c r="E32" s="287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879"/>
      <c r="G32" s="2879"/>
      <c r="H32" s="2879"/>
      <c r="I32" s="192"/>
      <c r="M32" s="22">
        <v>26</v>
      </c>
    </row>
    <row r="33" spans="1:13" ht="14.65" customHeight="1">
      <c r="A33" s="1601"/>
      <c r="C33" s="35"/>
      <c r="D33" s="84" t="s">
        <v>1140</v>
      </c>
      <c r="E33" s="142" t="s">
        <v>1129</v>
      </c>
      <c r="F33" s="134"/>
      <c r="G33" s="193"/>
      <c r="H33" s="134" t="s">
        <v>308</v>
      </c>
      <c r="I33" s="2692" t="s">
        <v>1141</v>
      </c>
      <c r="M33" s="22">
        <v>14</v>
      </c>
    </row>
    <row r="34" spans="1:13" ht="15.75" customHeight="1">
      <c r="A34" s="1601" t="s">
        <v>89</v>
      </c>
      <c r="C34" s="35"/>
      <c r="D34" s="48"/>
      <c r="E34" s="140" t="s">
        <v>324</v>
      </c>
      <c r="F34" s="136"/>
      <c r="G34" s="136"/>
      <c r="H34" s="137"/>
      <c r="I34" s="2694"/>
      <c r="M34" s="22">
        <v>15</v>
      </c>
    </row>
    <row r="35" spans="1:13" ht="25.15" customHeight="1">
      <c r="A35" s="1601"/>
      <c r="C35" s="35"/>
      <c r="D35" s="84" t="s">
        <v>883</v>
      </c>
      <c r="E35" s="287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879"/>
      <c r="G35" s="2879"/>
      <c r="H35" s="2879"/>
      <c r="I35" s="192"/>
      <c r="M35" s="22">
        <v>24</v>
      </c>
    </row>
    <row r="36" spans="1:13" ht="14.65" customHeight="1">
      <c r="A36" s="1601"/>
      <c r="C36" s="35"/>
      <c r="D36" s="84" t="s">
        <v>1142</v>
      </c>
      <c r="E36" s="142" t="s">
        <v>1130</v>
      </c>
      <c r="F36" s="134"/>
      <c r="G36" s="193"/>
      <c r="H36" s="134" t="s">
        <v>308</v>
      </c>
      <c r="I36" s="2660" t="s">
        <v>1143</v>
      </c>
      <c r="M36" s="22">
        <v>14</v>
      </c>
    </row>
    <row r="37" spans="1:13" ht="15.75" customHeight="1">
      <c r="A37" s="1601" t="s">
        <v>90</v>
      </c>
      <c r="C37" s="35"/>
      <c r="D37" s="48"/>
      <c r="E37" s="140" t="s">
        <v>324</v>
      </c>
      <c r="F37" s="136"/>
      <c r="G37" s="136"/>
      <c r="H37" s="137"/>
      <c r="I37" s="2660"/>
      <c r="M37" s="22">
        <v>15</v>
      </c>
    </row>
    <row r="38" spans="1:13" ht="27.4" customHeight="1">
      <c r="A38" s="1601"/>
      <c r="C38" s="35"/>
      <c r="D38" s="84" t="s">
        <v>884</v>
      </c>
      <c r="E38" s="287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879"/>
      <c r="G38" s="2879"/>
      <c r="H38" s="2879"/>
      <c r="I38" s="192"/>
      <c r="M38" s="22">
        <v>26</v>
      </c>
    </row>
    <row r="39" spans="1:13" ht="14.65" customHeight="1">
      <c r="A39" s="1601"/>
      <c r="C39" s="35"/>
      <c r="D39" s="84" t="s">
        <v>885</v>
      </c>
      <c r="E39" s="142" t="s">
        <v>1131</v>
      </c>
      <c r="F39" s="134"/>
      <c r="G39" s="143"/>
      <c r="H39" s="134" t="s">
        <v>308</v>
      </c>
      <c r="I39" s="2692" t="s">
        <v>1144</v>
      </c>
      <c r="L39" s="92" t="s">
        <v>1132</v>
      </c>
      <c r="M39" s="22">
        <v>14</v>
      </c>
    </row>
    <row r="40" spans="1:13" ht="15.75" customHeight="1">
      <c r="A40" s="1601" t="s">
        <v>110</v>
      </c>
      <c r="C40" s="35"/>
      <c r="D40" s="48"/>
      <c r="E40" s="140" t="s">
        <v>324</v>
      </c>
      <c r="F40" s="136"/>
      <c r="G40" s="136"/>
      <c r="H40" s="137"/>
      <c r="I40" s="2694"/>
      <c r="M40" s="22">
        <v>15</v>
      </c>
    </row>
    <row r="41" spans="1:13" s="2566" customFormat="1" ht="3" customHeight="1">
      <c r="A41" s="1601"/>
      <c r="K41" s="132"/>
      <c r="L41" s="132"/>
      <c r="M41" s="78">
        <v>3</v>
      </c>
    </row>
    <row r="42" spans="1:13" ht="26.25" customHeight="1">
      <c r="D42" s="1599" t="s">
        <v>805</v>
      </c>
      <c r="E42" s="278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786"/>
      <c r="G42" s="2786"/>
      <c r="H42" s="2786"/>
      <c r="I42" s="2786"/>
      <c r="M42" s="22">
        <v>25</v>
      </c>
    </row>
    <row r="43" spans="1:13" ht="22.5" hidden="1" customHeight="1">
      <c r="A43" s="1280"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44"/>
  <sheetViews>
    <sheetView showGridLines="0" tabSelected="1" topLeftCell="D13" zoomScale="74" workbookViewId="0">
      <selection activeCell="M91" sqref="M91:M98"/>
    </sheetView>
  </sheetViews>
  <sheetFormatPr defaultColWidth="10.5703125" defaultRowHeight="14.25" customHeight="1"/>
  <cols>
    <col min="1" max="2" width="25.140625" style="2568" hidden="1" customWidth="1"/>
    <col min="3" max="3" width="9.140625" style="2569" hidden="1" customWidth="1"/>
    <col min="4" max="4" width="3" style="2548" customWidth="1"/>
    <col min="5" max="5" width="6" style="2513" customWidth="1"/>
    <col min="6" max="6" width="46.7109375" style="2513" customWidth="1"/>
    <col min="7" max="7" width="35" style="2513" customWidth="1"/>
    <col min="8" max="8" width="3" style="2513" customWidth="1"/>
    <col min="9" max="9" width="13.140625" style="2513" customWidth="1"/>
    <col min="10" max="10" width="13.28515625" style="2513" customWidth="1"/>
    <col min="11" max="12" width="35" style="2513" customWidth="1"/>
    <col min="13" max="13" width="84" style="2513" customWidth="1"/>
    <col min="14" max="14" width="10" style="2513" customWidth="1"/>
    <col min="15" max="16" width="10" style="2526" customWidth="1"/>
    <col min="17" max="33" width="10" style="2513" customWidth="1"/>
    <col min="34" max="34" width="10.5703125" style="2513" hidden="1"/>
  </cols>
  <sheetData>
    <row r="1" spans="1:34" s="2513" customFormat="1" ht="22.5" hidden="1" customHeight="1">
      <c r="A1" s="1696"/>
      <c r="B1" s="1696"/>
      <c r="C1" s="304"/>
      <c r="D1" s="280"/>
      <c r="N1" s="1554">
        <f>IFERROR(MATCH("метод экономически обоснованных расходов (затрат)",OFFER_METHOD,0),0)</f>
        <v>0</v>
      </c>
      <c r="O1" s="1542"/>
      <c r="P1" s="1542"/>
      <c r="T1" s="760"/>
      <c r="AG1" s="191"/>
      <c r="AH1" s="1549" t="s">
        <v>14</v>
      </c>
    </row>
    <row r="2" spans="1:34" s="2513" customFormat="1" ht="18.75" hidden="1" customHeight="1">
      <c r="A2" s="1697" t="s">
        <v>155</v>
      </c>
      <c r="B2" s="1697" t="s">
        <v>156</v>
      </c>
      <c r="C2" s="304"/>
      <c r="D2" s="280"/>
      <c r="E2" s="953"/>
      <c r="F2" s="953"/>
      <c r="G2" s="2895" t="str">
        <f>INDEX(PT_DIFFERENTIATION_NTAR,MATCH(B2,PT_DIFFERENTIATION_NTAR_ID,0))</f>
        <v>Долгосрочный тариф на тепловую энергию для потребителей ООО "Ноябрьская ПГЭ" на 2025 - 2029 годы</v>
      </c>
      <c r="H2" s="1779"/>
      <c r="I2" s="1656"/>
      <c r="J2" s="1690"/>
      <c r="K2" s="1780"/>
      <c r="L2" s="1779" t="s">
        <v>308</v>
      </c>
      <c r="M2" s="1790"/>
      <c r="N2" s="270"/>
      <c r="O2" s="1542"/>
      <c r="P2" s="1542"/>
      <c r="AH2" s="1549">
        <v>0</v>
      </c>
    </row>
    <row r="3" spans="1:34" s="2513" customFormat="1" ht="18.75" hidden="1" customHeight="1">
      <c r="A3" s="1697"/>
      <c r="B3" s="1697"/>
      <c r="C3" s="304" t="s">
        <v>1145</v>
      </c>
      <c r="D3" s="280"/>
      <c r="E3" s="953"/>
      <c r="F3" s="953"/>
      <c r="G3" s="2895"/>
      <c r="H3" s="1418"/>
      <c r="I3" s="586" t="s">
        <v>1146</v>
      </c>
      <c r="J3" s="506"/>
      <c r="K3" s="1418"/>
      <c r="L3" s="150"/>
      <c r="M3" s="1790"/>
      <c r="N3" s="270"/>
      <c r="O3" s="1542"/>
      <c r="P3" s="1542"/>
      <c r="AH3" s="1549">
        <v>0</v>
      </c>
    </row>
    <row r="4" spans="1:34" s="2513" customFormat="1" ht="14.25" hidden="1" customHeight="1">
      <c r="A4" s="1696"/>
      <c r="B4" s="1696"/>
      <c r="C4" s="304"/>
      <c r="D4" s="280"/>
      <c r="N4" s="1554">
        <f>IFERROR(MATCH("метод экономически обоснованных расходов (затрат)",OFFER_METHOD,0),0)</f>
        <v>0</v>
      </c>
      <c r="O4" s="1542"/>
      <c r="P4" s="1542"/>
      <c r="T4" s="760"/>
      <c r="AG4" s="191"/>
      <c r="AH4" s="1549">
        <v>0</v>
      </c>
    </row>
    <row r="5" spans="1:34" s="2513" customFormat="1" ht="18.75" hidden="1" customHeight="1">
      <c r="A5" s="1697" t="s">
        <v>155</v>
      </c>
      <c r="B5" s="1697" t="s">
        <v>156</v>
      </c>
      <c r="C5" s="304"/>
      <c r="D5" s="280"/>
      <c r="E5" s="953"/>
      <c r="F5" s="953"/>
      <c r="G5" s="2895" t="str">
        <f>INDEX(PT_DIFFERENTIATION_NTAR,MATCH(B5,PT_DIFFERENTIATION_NTAR_ID,0))</f>
        <v>Долгосрочный тариф на тепловую энергию для потребителей ООО "Ноябрьская ПГЭ" на 2025 - 2029 годы</v>
      </c>
      <c r="H5" s="1779"/>
      <c r="I5" s="1656"/>
      <c r="J5" s="1690"/>
      <c r="K5" s="1695"/>
      <c r="L5" s="1779" t="s">
        <v>308</v>
      </c>
      <c r="M5" s="1790"/>
      <c r="N5" s="270"/>
      <c r="O5" s="1542"/>
      <c r="P5" s="1542"/>
      <c r="AH5" s="1549">
        <v>0</v>
      </c>
    </row>
    <row r="6" spans="1:34" s="2513" customFormat="1" ht="18.75" hidden="1" customHeight="1">
      <c r="A6" s="1697"/>
      <c r="B6" s="1697"/>
      <c r="C6" s="304" t="s">
        <v>1147</v>
      </c>
      <c r="D6" s="280"/>
      <c r="E6" s="953"/>
      <c r="F6" s="953"/>
      <c r="G6" s="2895"/>
      <c r="H6" s="1418"/>
      <c r="I6" s="586" t="s">
        <v>1146</v>
      </c>
      <c r="J6" s="506"/>
      <c r="K6" s="1418"/>
      <c r="L6" s="150"/>
      <c r="M6" s="1790"/>
      <c r="N6" s="270"/>
      <c r="O6" s="1542"/>
      <c r="P6" s="1542"/>
      <c r="AH6" s="1549">
        <v>0</v>
      </c>
    </row>
    <row r="7" spans="1:34" s="2513" customFormat="1" ht="14.25" hidden="1" customHeight="1">
      <c r="A7" s="1696"/>
      <c r="B7" s="1696"/>
      <c r="C7" s="304"/>
      <c r="D7" s="280"/>
      <c r="N7" s="1554">
        <f>IFERROR(MATCH("метод экономически обоснованных расходов (затрат)",OFFER_METHOD,0),0)</f>
        <v>0</v>
      </c>
      <c r="O7" s="1542"/>
      <c r="P7" s="1542"/>
      <c r="T7" s="760"/>
      <c r="AG7" s="191"/>
      <c r="AH7" s="1549">
        <v>0</v>
      </c>
    </row>
    <row r="8" spans="1:34" s="2513" customFormat="1" ht="56.25" hidden="1" customHeight="1">
      <c r="A8" s="1697"/>
      <c r="B8" s="1697"/>
      <c r="C8" s="304"/>
      <c r="D8" s="280"/>
      <c r="E8" s="953"/>
      <c r="F8" s="953"/>
      <c r="G8" s="953"/>
      <c r="H8" s="1688"/>
      <c r="I8" s="1656"/>
      <c r="J8" s="1690"/>
      <c r="K8" s="1780"/>
      <c r="L8" s="1688" t="s">
        <v>308</v>
      </c>
      <c r="M8" s="1790"/>
      <c r="N8" s="270"/>
      <c r="O8" s="1542"/>
      <c r="P8" s="1542"/>
      <c r="AH8" s="1549">
        <v>0</v>
      </c>
    </row>
    <row r="9" spans="1:34" ht="14.25" hidden="1" customHeight="1">
      <c r="T9" s="332"/>
      <c r="AG9" s="191"/>
      <c r="AH9" s="309">
        <v>0</v>
      </c>
    </row>
    <row r="10" spans="1:34" s="2513" customFormat="1" ht="56.25" hidden="1" customHeight="1">
      <c r="A10" s="1697"/>
      <c r="B10" s="1697"/>
      <c r="C10" s="304"/>
      <c r="D10" s="280"/>
      <c r="E10" s="953"/>
      <c r="F10" s="953"/>
      <c r="G10" s="953"/>
      <c r="H10" s="1687"/>
      <c r="I10" s="1656"/>
      <c r="J10" s="1690"/>
      <c r="K10" s="1695"/>
      <c r="L10" s="1688" t="s">
        <v>308</v>
      </c>
      <c r="M10" s="1790"/>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92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925"/>
      <c r="G14" s="2925"/>
      <c r="H14" s="2925"/>
      <c r="I14" s="2925"/>
      <c r="J14" s="2925"/>
      <c r="K14" s="2925"/>
      <c r="L14" s="2925"/>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изменении тарифов</v>
      </c>
      <c r="G16" s="2755">
        <f>IF(TITLE_DATE_PR_CHANGE="",IF(TITLE_DATE_PR="","",TITLE_DATE_PR),TITLE_DATE_PR_CHANGE)</f>
        <v>45583</v>
      </c>
      <c r="H16" s="2755"/>
      <c r="I16" s="2755"/>
      <c r="J16" s="2755"/>
      <c r="K16" s="2755"/>
      <c r="L16" s="2755"/>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изменении тарифов</v>
      </c>
      <c r="G17" s="2754" t="str">
        <f>IF(TITLE_NUMBER_PR_CHANGE="",IF(TITLE_NUMBER_PR="","",TITLE_NUMBER_PR),TITLE_NUMBER_PR_CHANGE)</f>
        <v>18-3341</v>
      </c>
      <c r="H17" s="2754"/>
      <c r="I17" s="2754"/>
      <c r="J17" s="2754"/>
      <c r="K17" s="2754"/>
      <c r="L17" s="2754"/>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724" t="s">
        <v>302</v>
      </c>
      <c r="F19" s="2724"/>
      <c r="G19" s="2724"/>
      <c r="H19" s="2724"/>
      <c r="I19" s="2724"/>
      <c r="J19" s="2724"/>
      <c r="K19" s="2724"/>
      <c r="L19" s="2724"/>
      <c r="M19" s="2868" t="s">
        <v>303</v>
      </c>
      <c r="AH19" s="309">
        <v>21</v>
      </c>
    </row>
    <row r="20" spans="1:34" ht="21.95" customHeight="1">
      <c r="D20" s="311"/>
      <c r="E20" s="2760" t="s">
        <v>87</v>
      </c>
      <c r="F20" s="2738" t="s">
        <v>121</v>
      </c>
      <c r="G20" s="2738" t="s">
        <v>122</v>
      </c>
      <c r="H20" s="2865" t="s">
        <v>1148</v>
      </c>
      <c r="I20" s="2866"/>
      <c r="J20" s="2900"/>
      <c r="K20" s="2738" t="s">
        <v>305</v>
      </c>
      <c r="L20" s="2738" t="s">
        <v>392</v>
      </c>
      <c r="M20" s="2868"/>
      <c r="AH20" s="309">
        <v>21</v>
      </c>
    </row>
    <row r="21" spans="1:34" ht="21.95" customHeight="1">
      <c r="D21" s="311"/>
      <c r="E21" s="2762"/>
      <c r="F21" s="2739"/>
      <c r="G21" s="2739"/>
      <c r="H21" s="2733" t="s">
        <v>1149</v>
      </c>
      <c r="I21" s="2735"/>
      <c r="J21" s="47" t="s">
        <v>1150</v>
      </c>
      <c r="K21" s="2739"/>
      <c r="L21" s="2739"/>
      <c r="M21" s="2868"/>
      <c r="AH21" s="309">
        <v>21</v>
      </c>
    </row>
    <row r="22" spans="1:34" ht="12.75" customHeight="1">
      <c r="D22" s="311"/>
      <c r="E22" s="217"/>
      <c r="F22" s="217"/>
      <c r="G22" s="217"/>
      <c r="H22" s="2927"/>
      <c r="I22" s="2927"/>
      <c r="J22" s="217"/>
      <c r="K22" s="217"/>
      <c r="L22" s="217"/>
      <c r="M22" s="217"/>
      <c r="AH22" s="309">
        <v>12</v>
      </c>
    </row>
    <row r="23" spans="1:34" ht="19.899999999999999" customHeight="1">
      <c r="A23" s="1697"/>
      <c r="B23" s="1697"/>
      <c r="D23" s="311"/>
      <c r="E23" s="1781" t="s">
        <v>108</v>
      </c>
      <c r="F23" s="2928" t="str">
        <f>"Предлагаемый метод регулирования"&amp;IF(TEMPLATE_SPHERE="HEAT"," в сфере "&amp;TEMPLATE_SPHERE_RUS,"")</f>
        <v>Предлагаемый метод регулирования в сфере теплоснабжения</v>
      </c>
      <c r="G23" s="2928"/>
      <c r="H23" s="2919"/>
      <c r="I23" s="2919"/>
      <c r="J23" s="2919"/>
      <c r="K23" s="2928" t="s">
        <v>308</v>
      </c>
      <c r="L23" s="2919"/>
      <c r="M23" s="1686"/>
      <c r="N23" s="270"/>
      <c r="AH23" s="309">
        <v>19</v>
      </c>
    </row>
    <row r="24" spans="1:34" ht="60.75" customHeight="1">
      <c r="A24" s="1697" t="s">
        <v>155</v>
      </c>
      <c r="B24" s="1697" t="s">
        <v>156</v>
      </c>
      <c r="D24" s="2926"/>
      <c r="E24" s="2719"/>
      <c r="F24" s="292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95" t="str">
        <f>INDEX(PT_DIFFERENTIATION_NTAR,MATCH(B24,PT_DIFFERENTIATION_NTAR_ID,0))</f>
        <v>Долгосрочный тариф на тепловую энергию для потребителей ООО "Ноябрьская ПГЭ" на 2025 - 2029 годы</v>
      </c>
      <c r="H24" s="1777"/>
      <c r="I24" s="2499">
        <v>45658.645243055558</v>
      </c>
      <c r="J24" s="2500">
        <v>46022</v>
      </c>
      <c r="K24" s="1780" t="s">
        <v>1151</v>
      </c>
      <c r="L24" s="1685" t="s">
        <v>308</v>
      </c>
      <c r="M24" s="26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567" customFormat="1" ht="56.25" customHeight="1">
      <c r="A25" s="2501"/>
      <c r="B25" s="2501"/>
      <c r="C25" s="2502"/>
      <c r="D25" s="2922"/>
      <c r="E25" s="2920"/>
      <c r="F25" s="2920"/>
      <c r="G25" s="2920"/>
      <c r="H25" s="2281" t="s">
        <v>427</v>
      </c>
      <c r="I25" s="2499">
        <v>46023</v>
      </c>
      <c r="J25" s="2500">
        <v>46387</v>
      </c>
      <c r="K25" s="2503" t="s">
        <v>1151</v>
      </c>
      <c r="L25" s="2281" t="s">
        <v>308</v>
      </c>
      <c r="M25" s="2808"/>
      <c r="N25" s="2504"/>
      <c r="O25" s="2505"/>
      <c r="P25" s="2505"/>
      <c r="Q25" s="2050"/>
      <c r="R25" s="2050"/>
      <c r="S25" s="2050"/>
      <c r="T25" s="2050"/>
      <c r="U25" s="2050"/>
      <c r="V25" s="2050"/>
      <c r="W25" s="2050"/>
      <c r="X25" s="2050"/>
      <c r="Y25" s="2050"/>
      <c r="Z25" s="2050"/>
      <c r="AA25" s="2050"/>
      <c r="AB25" s="2050"/>
      <c r="AC25" s="2050"/>
      <c r="AD25" s="2050"/>
      <c r="AE25" s="2050"/>
      <c r="AF25" s="2050"/>
      <c r="AG25" s="2050"/>
      <c r="AH25" s="2050">
        <v>0</v>
      </c>
    </row>
    <row r="26" spans="1:34" s="2567" customFormat="1" ht="56.25" customHeight="1">
      <c r="A26" s="2501"/>
      <c r="B26" s="2501"/>
      <c r="C26" s="2502"/>
      <c r="D26" s="2922"/>
      <c r="E26" s="2920"/>
      <c r="F26" s="2920"/>
      <c r="G26" s="2920"/>
      <c r="H26" s="2281" t="s">
        <v>427</v>
      </c>
      <c r="I26" s="2499">
        <v>46388</v>
      </c>
      <c r="J26" s="2500">
        <v>46752</v>
      </c>
      <c r="K26" s="2503" t="s">
        <v>1151</v>
      </c>
      <c r="L26" s="2281" t="s">
        <v>308</v>
      </c>
      <c r="M26" s="2808"/>
      <c r="N26" s="2504"/>
      <c r="O26" s="2505"/>
      <c r="P26" s="2505"/>
      <c r="Q26" s="2050"/>
      <c r="R26" s="2050"/>
      <c r="S26" s="2050"/>
      <c r="T26" s="2050"/>
      <c r="U26" s="2050"/>
      <c r="V26" s="2050"/>
      <c r="W26" s="2050"/>
      <c r="X26" s="2050"/>
      <c r="Y26" s="2050"/>
      <c r="Z26" s="2050"/>
      <c r="AA26" s="2050"/>
      <c r="AB26" s="2050"/>
      <c r="AC26" s="2050"/>
      <c r="AD26" s="2050"/>
      <c r="AE26" s="2050"/>
      <c r="AF26" s="2050"/>
      <c r="AG26" s="2050"/>
      <c r="AH26" s="2050">
        <v>0</v>
      </c>
    </row>
    <row r="27" spans="1:34" s="2567" customFormat="1" ht="56.25" customHeight="1">
      <c r="A27" s="2501"/>
      <c r="B27" s="2501"/>
      <c r="C27" s="2502"/>
      <c r="D27" s="2922"/>
      <c r="E27" s="2920"/>
      <c r="F27" s="2920"/>
      <c r="G27" s="2920"/>
      <c r="H27" s="2281" t="s">
        <v>427</v>
      </c>
      <c r="I27" s="2499">
        <v>46753</v>
      </c>
      <c r="J27" s="2500">
        <v>47118</v>
      </c>
      <c r="K27" s="2503" t="s">
        <v>1151</v>
      </c>
      <c r="L27" s="2281" t="s">
        <v>308</v>
      </c>
      <c r="M27" s="2808"/>
      <c r="N27" s="2504"/>
      <c r="O27" s="2505"/>
      <c r="P27" s="2505"/>
      <c r="Q27" s="2050"/>
      <c r="R27" s="2050"/>
      <c r="S27" s="2050"/>
      <c r="T27" s="2050"/>
      <c r="U27" s="2050"/>
      <c r="V27" s="2050"/>
      <c r="W27" s="2050"/>
      <c r="X27" s="2050"/>
      <c r="Y27" s="2050"/>
      <c r="Z27" s="2050"/>
      <c r="AA27" s="2050"/>
      <c r="AB27" s="2050"/>
      <c r="AC27" s="2050"/>
      <c r="AD27" s="2050"/>
      <c r="AE27" s="2050"/>
      <c r="AF27" s="2050"/>
      <c r="AG27" s="2050"/>
      <c r="AH27" s="2050">
        <v>0</v>
      </c>
    </row>
    <row r="28" spans="1:34" s="2567" customFormat="1" ht="56.25" customHeight="1">
      <c r="A28" s="2501"/>
      <c r="B28" s="2501"/>
      <c r="C28" s="2502"/>
      <c r="D28" s="2922"/>
      <c r="E28" s="2920"/>
      <c r="F28" s="2920"/>
      <c r="G28" s="2920"/>
      <c r="H28" s="2281" t="s">
        <v>427</v>
      </c>
      <c r="I28" s="2499">
        <v>47119</v>
      </c>
      <c r="J28" s="2500">
        <v>47483</v>
      </c>
      <c r="K28" s="2503" t="s">
        <v>1151</v>
      </c>
      <c r="L28" s="2281" t="s">
        <v>308</v>
      </c>
      <c r="M28" s="2808"/>
      <c r="N28" s="2504"/>
      <c r="O28" s="2505"/>
      <c r="P28" s="2505"/>
      <c r="Q28" s="2050"/>
      <c r="R28" s="2050"/>
      <c r="S28" s="2050"/>
      <c r="T28" s="2050"/>
      <c r="U28" s="2050"/>
      <c r="V28" s="2050"/>
      <c r="W28" s="2050"/>
      <c r="X28" s="2050"/>
      <c r="Y28" s="2050"/>
      <c r="Z28" s="2050"/>
      <c r="AA28" s="2050"/>
      <c r="AB28" s="2050"/>
      <c r="AC28" s="2050"/>
      <c r="AD28" s="2050"/>
      <c r="AE28" s="2050"/>
      <c r="AF28" s="2050"/>
      <c r="AG28" s="2050"/>
      <c r="AH28" s="2050">
        <v>0</v>
      </c>
    </row>
    <row r="29" spans="1:34" s="2513" customFormat="1" ht="18.75" customHeight="1">
      <c r="A29" s="1697"/>
      <c r="B29" s="1697"/>
      <c r="C29" s="304" t="s">
        <v>1145</v>
      </c>
      <c r="D29" s="2926"/>
      <c r="E29" s="2719"/>
      <c r="F29" s="2929"/>
      <c r="G29" s="2895"/>
      <c r="H29" s="1418"/>
      <c r="I29" s="586" t="s">
        <v>1146</v>
      </c>
      <c r="J29" s="506"/>
      <c r="K29" s="1418"/>
      <c r="L29" s="150"/>
      <c r="M29" s="2693"/>
      <c r="N29" s="270"/>
      <c r="O29" s="1542"/>
      <c r="P29" s="1542"/>
      <c r="AH29" s="1549">
        <v>0</v>
      </c>
    </row>
    <row r="30" spans="1:34" ht="0.75" customHeight="1">
      <c r="A30" s="1697"/>
      <c r="B30" s="1697"/>
      <c r="C30" s="304" t="s">
        <v>1152</v>
      </c>
      <c r="D30" s="2926"/>
      <c r="E30" s="2719"/>
      <c r="F30" s="2863"/>
      <c r="G30" s="335"/>
      <c r="H30" s="1418"/>
      <c r="I30" s="330"/>
      <c r="J30" s="284"/>
      <c r="K30" s="1418"/>
      <c r="L30" s="137"/>
      <c r="M30" s="2693"/>
      <c r="N30" s="270"/>
      <c r="AH30" s="309">
        <v>0</v>
      </c>
    </row>
    <row r="31" spans="1:34" s="2513" customFormat="1" ht="45" hidden="1" customHeight="1">
      <c r="A31" s="1697" t="s">
        <v>165</v>
      </c>
      <c r="B31" s="1697" t="s">
        <v>166</v>
      </c>
      <c r="C31" s="304"/>
      <c r="D31" s="2921"/>
      <c r="E31" s="2923"/>
      <c r="F31" s="2924" t="str">
        <f>INDEX(PT_DIFFERENTIATION_VTAR,MATCH(A31,PT_DIFFERENTIATION_VTAR_ID,0))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1" s="2895" t="str">
        <f>INDEX(PT_DIFFERENTIATION_NTAR,MATCH(B31,PT_DIFFERENTIATION_NTAR_ID,0))</f>
        <v/>
      </c>
      <c r="H31" s="1777"/>
      <c r="I31" s="1656"/>
      <c r="J31" s="1690"/>
      <c r="K31" s="1780"/>
      <c r="L31" s="1777" t="s">
        <v>308</v>
      </c>
      <c r="M31" s="2693"/>
      <c r="N31" s="270"/>
      <c r="O31" s="1542"/>
      <c r="P31" s="1542"/>
      <c r="AH31" s="1549">
        <v>0</v>
      </c>
    </row>
    <row r="32" spans="1:34" s="2513" customFormat="1" ht="18.75" hidden="1" customHeight="1">
      <c r="A32" s="1697"/>
      <c r="B32" s="1697"/>
      <c r="C32" s="304" t="s">
        <v>1145</v>
      </c>
      <c r="D32" s="2921"/>
      <c r="E32" s="2923"/>
      <c r="F32" s="2924"/>
      <c r="G32" s="2895"/>
      <c r="H32" s="1418"/>
      <c r="I32" s="586" t="s">
        <v>1146</v>
      </c>
      <c r="J32" s="506"/>
      <c r="K32" s="1418"/>
      <c r="L32" s="150"/>
      <c r="M32" s="2693"/>
      <c r="N32" s="270"/>
      <c r="O32" s="1542"/>
      <c r="P32" s="1542"/>
      <c r="AH32" s="1549">
        <v>0</v>
      </c>
    </row>
    <row r="33" spans="1:34" s="2513" customFormat="1" ht="0.75" hidden="1" customHeight="1">
      <c r="A33" s="1697"/>
      <c r="B33" s="1697"/>
      <c r="C33" s="304" t="s">
        <v>1152</v>
      </c>
      <c r="D33" s="2921"/>
      <c r="E33" s="2719"/>
      <c r="F33" s="2863"/>
      <c r="G33" s="335"/>
      <c r="H33" s="1418"/>
      <c r="I33" s="586"/>
      <c r="J33" s="506"/>
      <c r="K33" s="1418"/>
      <c r="L33" s="150"/>
      <c r="M33" s="2693"/>
      <c r="N33" s="270"/>
      <c r="O33" s="1542"/>
      <c r="P33" s="1542"/>
      <c r="AH33" s="1549">
        <v>0</v>
      </c>
    </row>
    <row r="34" spans="1:34" s="2513" customFormat="1" ht="45" hidden="1" customHeight="1">
      <c r="A34" s="1697" t="s">
        <v>171</v>
      </c>
      <c r="B34" s="1697" t="s">
        <v>172</v>
      </c>
      <c r="C34" s="304"/>
      <c r="D34" s="2921"/>
      <c r="E34" s="2719"/>
      <c r="F34" s="2863" t="str">
        <f>INDEX(PT_DIFFERENTIATION_VTAR,MATCH(A34,PT_DIFFERENTIATION_VTAR_ID,0))</f>
        <v>Тарифы на теплоноситель, поставляемый теплоснабжающими организациями потребителям, другим теплоснабжающим организациям</v>
      </c>
      <c r="G34" s="2895" t="str">
        <f>INDEX(PT_DIFFERENTIATION_NTAR,MATCH(B34,PT_DIFFERENTIATION_NTAR_ID,0))</f>
        <v/>
      </c>
      <c r="H34" s="1777"/>
      <c r="I34" s="1656"/>
      <c r="J34" s="1690"/>
      <c r="K34" s="1780"/>
      <c r="L34" s="1777" t="s">
        <v>308</v>
      </c>
      <c r="M34" s="2693"/>
      <c r="N34" s="270"/>
      <c r="O34" s="1542"/>
      <c r="P34" s="1542"/>
      <c r="AH34" s="1549">
        <v>0</v>
      </c>
    </row>
    <row r="35" spans="1:34" s="2513" customFormat="1" ht="18.75" hidden="1" customHeight="1">
      <c r="A35" s="1697"/>
      <c r="B35" s="1697"/>
      <c r="C35" s="304" t="s">
        <v>1145</v>
      </c>
      <c r="D35" s="2921"/>
      <c r="E35" s="2719"/>
      <c r="F35" s="2863"/>
      <c r="G35" s="2895"/>
      <c r="H35" s="1418"/>
      <c r="I35" s="586" t="s">
        <v>1146</v>
      </c>
      <c r="J35" s="506"/>
      <c r="K35" s="1418"/>
      <c r="L35" s="150"/>
      <c r="M35" s="2693"/>
      <c r="N35" s="270"/>
      <c r="O35" s="1542"/>
      <c r="P35" s="1542"/>
      <c r="AH35" s="1549">
        <v>0</v>
      </c>
    </row>
    <row r="36" spans="1:34" s="2513" customFormat="1" ht="0.75" hidden="1" customHeight="1">
      <c r="A36" s="1697"/>
      <c r="B36" s="1697"/>
      <c r="C36" s="304" t="s">
        <v>1152</v>
      </c>
      <c r="D36" s="2921"/>
      <c r="E36" s="2719"/>
      <c r="F36" s="2863"/>
      <c r="G36" s="335"/>
      <c r="H36" s="1418"/>
      <c r="I36" s="586"/>
      <c r="J36" s="506"/>
      <c r="K36" s="1418"/>
      <c r="L36" s="150"/>
      <c r="M36" s="2693"/>
      <c r="N36" s="270"/>
      <c r="O36" s="1542"/>
      <c r="P36" s="1542"/>
      <c r="AH36" s="1549">
        <v>0</v>
      </c>
    </row>
    <row r="37" spans="1:34" s="2513" customFormat="1" ht="45" hidden="1" customHeight="1">
      <c r="A37" s="1697" t="s">
        <v>177</v>
      </c>
      <c r="B37" s="1697" t="s">
        <v>178</v>
      </c>
      <c r="C37" s="304"/>
      <c r="D37" s="2921"/>
      <c r="E37" s="2719"/>
      <c r="F37" s="2863" t="str">
        <f>INDEX(PT_DIFFERENTIATION_VTAR,MATCH(A37,PT_DIFFERENTIATION_VTAR_ID,0))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7" s="2895" t="str">
        <f>INDEX(PT_DIFFERENTIATION_NTAR,MATCH(B37,PT_DIFFERENTIATION_NTAR_ID,0))</f>
        <v/>
      </c>
      <c r="H37" s="1777"/>
      <c r="I37" s="1656"/>
      <c r="J37" s="1690"/>
      <c r="K37" s="1780"/>
      <c r="L37" s="1777" t="s">
        <v>308</v>
      </c>
      <c r="M37" s="2693"/>
      <c r="N37" s="270"/>
      <c r="O37" s="1542"/>
      <c r="P37" s="1542"/>
      <c r="AH37" s="1549">
        <v>0</v>
      </c>
    </row>
    <row r="38" spans="1:34" s="2513" customFormat="1" ht="18.75" hidden="1" customHeight="1">
      <c r="A38" s="1697"/>
      <c r="B38" s="1697"/>
      <c r="C38" s="304" t="s">
        <v>1145</v>
      </c>
      <c r="D38" s="2921"/>
      <c r="E38" s="2719"/>
      <c r="F38" s="2863"/>
      <c r="G38" s="2895"/>
      <c r="H38" s="1418"/>
      <c r="I38" s="586" t="s">
        <v>1146</v>
      </c>
      <c r="J38" s="506"/>
      <c r="K38" s="1418"/>
      <c r="L38" s="150"/>
      <c r="M38" s="2693"/>
      <c r="N38" s="270"/>
      <c r="O38" s="1542"/>
      <c r="P38" s="1542"/>
      <c r="AH38" s="1549">
        <v>0</v>
      </c>
    </row>
    <row r="39" spans="1:34" s="2513" customFormat="1" ht="0.75" hidden="1" customHeight="1">
      <c r="A39" s="1697"/>
      <c r="B39" s="1697"/>
      <c r="C39" s="304" t="s">
        <v>1152</v>
      </c>
      <c r="D39" s="2921"/>
      <c r="E39" s="2719"/>
      <c r="F39" s="2863"/>
      <c r="G39" s="335"/>
      <c r="H39" s="1418"/>
      <c r="I39" s="586"/>
      <c r="J39" s="506"/>
      <c r="K39" s="1418"/>
      <c r="L39" s="150"/>
      <c r="M39" s="2693"/>
      <c r="N39" s="270"/>
      <c r="O39" s="1542"/>
      <c r="P39" s="1542"/>
      <c r="AH39" s="1549">
        <v>0</v>
      </c>
    </row>
    <row r="40" spans="1:34" s="2513" customFormat="1" ht="18.75" hidden="1" customHeight="1">
      <c r="A40" s="1697" t="s">
        <v>183</v>
      </c>
      <c r="B40" s="1697" t="s">
        <v>184</v>
      </c>
      <c r="C40" s="304"/>
      <c r="D40" s="2921"/>
      <c r="E40" s="2719"/>
      <c r="F40" s="2863" t="str">
        <f>INDEX(PT_DIFFERENTIATION_VTAR,MATCH(A40,PT_DIFFERENTIATION_VTAR_ID,0))</f>
        <v>Тарифы на услуги по передаче тепловой энергии</v>
      </c>
      <c r="G40" s="2895" t="str">
        <f>INDEX(PT_DIFFERENTIATION_NTAR,MATCH(B40,PT_DIFFERENTIATION_NTAR_ID,0))</f>
        <v/>
      </c>
      <c r="H40" s="1777"/>
      <c r="I40" s="1656"/>
      <c r="J40" s="1690"/>
      <c r="K40" s="1780"/>
      <c r="L40" s="1777" t="s">
        <v>308</v>
      </c>
      <c r="M40" s="2693"/>
      <c r="N40" s="270"/>
      <c r="O40" s="1542"/>
      <c r="P40" s="1542"/>
      <c r="AH40" s="1549">
        <v>0</v>
      </c>
    </row>
    <row r="41" spans="1:34" s="2513" customFormat="1" ht="18.75" hidden="1" customHeight="1">
      <c r="A41" s="1697"/>
      <c r="B41" s="1697"/>
      <c r="C41" s="304" t="s">
        <v>1145</v>
      </c>
      <c r="D41" s="2921"/>
      <c r="E41" s="2719"/>
      <c r="F41" s="2863"/>
      <c r="G41" s="2895"/>
      <c r="H41" s="1418"/>
      <c r="I41" s="586" t="s">
        <v>1146</v>
      </c>
      <c r="J41" s="506"/>
      <c r="K41" s="1418"/>
      <c r="L41" s="150"/>
      <c r="M41" s="2693"/>
      <c r="N41" s="270"/>
      <c r="O41" s="1542"/>
      <c r="P41" s="1542"/>
      <c r="AH41" s="1549">
        <v>0</v>
      </c>
    </row>
    <row r="42" spans="1:34" s="2513" customFormat="1" ht="0.75" hidden="1" customHeight="1">
      <c r="A42" s="1697"/>
      <c r="B42" s="1697"/>
      <c r="C42" s="304" t="s">
        <v>1152</v>
      </c>
      <c r="D42" s="2921"/>
      <c r="E42" s="2719"/>
      <c r="F42" s="2863"/>
      <c r="G42" s="335"/>
      <c r="H42" s="1418"/>
      <c r="I42" s="586"/>
      <c r="J42" s="506"/>
      <c r="K42" s="1418"/>
      <c r="L42" s="150"/>
      <c r="M42" s="2693"/>
      <c r="N42" s="270"/>
      <c r="O42" s="1542"/>
      <c r="P42" s="1542"/>
      <c r="AH42" s="1549">
        <v>0</v>
      </c>
    </row>
    <row r="43" spans="1:34" s="2513" customFormat="1" ht="18.75" hidden="1" customHeight="1">
      <c r="A43" s="1697" t="s">
        <v>189</v>
      </c>
      <c r="B43" s="1697" t="s">
        <v>190</v>
      </c>
      <c r="C43" s="304"/>
      <c r="D43" s="2921"/>
      <c r="E43" s="2719"/>
      <c r="F43" s="2863" t="str">
        <f>INDEX(PT_DIFFERENTIATION_VTAR,MATCH(A43,PT_DIFFERENTIATION_VTAR_ID,0))</f>
        <v>Тарифы на услуги по передаче теплоносителя</v>
      </c>
      <c r="G43" s="2895" t="str">
        <f>INDEX(PT_DIFFERENTIATION_NTAR,MATCH(B43,PT_DIFFERENTIATION_NTAR_ID,0))</f>
        <v/>
      </c>
      <c r="H43" s="1777"/>
      <c r="I43" s="1656"/>
      <c r="J43" s="1690"/>
      <c r="K43" s="1780"/>
      <c r="L43" s="1777" t="s">
        <v>308</v>
      </c>
      <c r="M43" s="2693"/>
      <c r="N43" s="270"/>
      <c r="O43" s="1542"/>
      <c r="P43" s="1542"/>
      <c r="AH43" s="1549">
        <v>0</v>
      </c>
    </row>
    <row r="44" spans="1:34" s="2513" customFormat="1" ht="18.75" hidden="1" customHeight="1">
      <c r="A44" s="1697"/>
      <c r="B44" s="1697"/>
      <c r="C44" s="304" t="s">
        <v>1145</v>
      </c>
      <c r="D44" s="2921"/>
      <c r="E44" s="2719"/>
      <c r="F44" s="2863"/>
      <c r="G44" s="2895"/>
      <c r="H44" s="1418"/>
      <c r="I44" s="586" t="s">
        <v>1146</v>
      </c>
      <c r="J44" s="506"/>
      <c r="K44" s="1418"/>
      <c r="L44" s="150"/>
      <c r="M44" s="2693"/>
      <c r="N44" s="270"/>
      <c r="O44" s="1542"/>
      <c r="P44" s="1542"/>
      <c r="AH44" s="1549">
        <v>0</v>
      </c>
    </row>
    <row r="45" spans="1:34" s="2513" customFormat="1" ht="0.75" hidden="1" customHeight="1">
      <c r="A45" s="1697"/>
      <c r="B45" s="1697"/>
      <c r="C45" s="304" t="s">
        <v>1152</v>
      </c>
      <c r="D45" s="2921"/>
      <c r="E45" s="2719"/>
      <c r="F45" s="2863"/>
      <c r="G45" s="335"/>
      <c r="H45" s="1418"/>
      <c r="I45" s="586"/>
      <c r="J45" s="506"/>
      <c r="K45" s="1418"/>
      <c r="L45" s="150"/>
      <c r="M45" s="2693"/>
      <c r="N45" s="270"/>
      <c r="O45" s="1542"/>
      <c r="P45" s="1542"/>
      <c r="AH45" s="1549">
        <v>0</v>
      </c>
    </row>
    <row r="46" spans="1:34" s="2513" customFormat="1" ht="18.75" hidden="1" customHeight="1">
      <c r="A46" s="1697" t="s">
        <v>195</v>
      </c>
      <c r="B46" s="1697" t="s">
        <v>196</v>
      </c>
      <c r="C46" s="304"/>
      <c r="D46" s="2921"/>
      <c r="E46" s="2719"/>
      <c r="F46" s="2863" t="str">
        <f>INDEX(PT_DIFFERENTIATION_VTAR,MATCH(A46,PT_DIFFERENTIATION_VTAR_ID,0))</f>
        <v>Плата за услуги по поддержанию резервной тепловой мощности при отсутствии потребления тепловой энергии</v>
      </c>
      <c r="G46" s="2895" t="str">
        <f>INDEX(PT_DIFFERENTIATION_NTAR,MATCH(B46,PT_DIFFERENTIATION_NTAR_ID,0))</f>
        <v/>
      </c>
      <c r="H46" s="1777"/>
      <c r="I46" s="1656"/>
      <c r="J46" s="1690"/>
      <c r="K46" s="1780"/>
      <c r="L46" s="1777" t="s">
        <v>308</v>
      </c>
      <c r="M46" s="2693"/>
      <c r="N46" s="270"/>
      <c r="O46" s="1542"/>
      <c r="P46" s="1542"/>
      <c r="AH46" s="1549">
        <v>0</v>
      </c>
    </row>
    <row r="47" spans="1:34" s="2513" customFormat="1" ht="18.75" hidden="1" customHeight="1">
      <c r="A47" s="1697"/>
      <c r="B47" s="1697"/>
      <c r="C47" s="304" t="s">
        <v>1145</v>
      </c>
      <c r="D47" s="2921"/>
      <c r="E47" s="2719"/>
      <c r="F47" s="2863"/>
      <c r="G47" s="2895"/>
      <c r="H47" s="1418"/>
      <c r="I47" s="586" t="s">
        <v>1146</v>
      </c>
      <c r="J47" s="506"/>
      <c r="K47" s="1418"/>
      <c r="L47" s="150"/>
      <c r="M47" s="2693"/>
      <c r="N47" s="270"/>
      <c r="O47" s="1542"/>
      <c r="P47" s="1542"/>
      <c r="AH47" s="1549">
        <v>0</v>
      </c>
    </row>
    <row r="48" spans="1:34" s="2513" customFormat="1" ht="0.75" hidden="1" customHeight="1">
      <c r="A48" s="1697"/>
      <c r="B48" s="1697"/>
      <c r="C48" s="304" t="s">
        <v>1152</v>
      </c>
      <c r="D48" s="2921"/>
      <c r="E48" s="2719"/>
      <c r="F48" s="2863"/>
      <c r="G48" s="335"/>
      <c r="H48" s="1418"/>
      <c r="I48" s="586"/>
      <c r="J48" s="506"/>
      <c r="K48" s="1418"/>
      <c r="L48" s="150"/>
      <c r="M48" s="2693"/>
      <c r="N48" s="270"/>
      <c r="O48" s="1542"/>
      <c r="P48" s="1542"/>
      <c r="AH48" s="1549">
        <v>0</v>
      </c>
    </row>
    <row r="49" spans="1:34" s="2513" customFormat="1" ht="18.75" hidden="1" customHeight="1">
      <c r="A49" s="1697" t="s">
        <v>201</v>
      </c>
      <c r="B49" s="1697" t="s">
        <v>202</v>
      </c>
      <c r="C49" s="304"/>
      <c r="D49" s="2921"/>
      <c r="E49" s="2719"/>
      <c r="F49" s="2863" t="str">
        <f>INDEX(PT_DIFFERENTIATION_VTAR,MATCH(A49,PT_DIFFERENTIATION_VTAR_ID,0))</f>
        <v>Плата за подключение (технологическое присоединение) к системе теплоснабжения</v>
      </c>
      <c r="G49" s="2895" t="str">
        <f>INDEX(PT_DIFFERENTIATION_NTAR,MATCH(B49,PT_DIFFERENTIATION_NTAR_ID,0))</f>
        <v/>
      </c>
      <c r="H49" s="1777"/>
      <c r="I49" s="1656"/>
      <c r="J49" s="1690"/>
      <c r="K49" s="1780"/>
      <c r="L49" s="1777" t="s">
        <v>308</v>
      </c>
      <c r="M49" s="2693"/>
      <c r="N49" s="270"/>
      <c r="O49" s="1542"/>
      <c r="P49" s="1542"/>
      <c r="AH49" s="1549">
        <v>0</v>
      </c>
    </row>
    <row r="50" spans="1:34" s="2513" customFormat="1" ht="18.75" hidden="1" customHeight="1">
      <c r="A50" s="1697"/>
      <c r="B50" s="1697"/>
      <c r="C50" s="304" t="s">
        <v>1145</v>
      </c>
      <c r="D50" s="2921"/>
      <c r="E50" s="2719"/>
      <c r="F50" s="2863"/>
      <c r="G50" s="2895"/>
      <c r="H50" s="1418"/>
      <c r="I50" s="586" t="s">
        <v>1146</v>
      </c>
      <c r="J50" s="506"/>
      <c r="K50" s="1418"/>
      <c r="L50" s="150"/>
      <c r="M50" s="2693"/>
      <c r="N50" s="270"/>
      <c r="O50" s="1542"/>
      <c r="P50" s="1542"/>
      <c r="AH50" s="1549">
        <v>0</v>
      </c>
    </row>
    <row r="51" spans="1:34" s="2513" customFormat="1" ht="0.75" hidden="1" customHeight="1">
      <c r="A51" s="1697"/>
      <c r="B51" s="1697"/>
      <c r="C51" s="304" t="s">
        <v>1152</v>
      </c>
      <c r="D51" s="2921"/>
      <c r="E51" s="2719"/>
      <c r="F51" s="2863"/>
      <c r="G51" s="335"/>
      <c r="H51" s="1418"/>
      <c r="I51" s="586"/>
      <c r="J51" s="506"/>
      <c r="K51" s="1418"/>
      <c r="L51" s="150"/>
      <c r="M51" s="2693"/>
      <c r="N51" s="270"/>
      <c r="O51" s="1542"/>
      <c r="P51" s="1542"/>
      <c r="AH51" s="1549">
        <v>0</v>
      </c>
    </row>
    <row r="52" spans="1:34" s="2513" customFormat="1" ht="18.75" hidden="1" customHeight="1">
      <c r="A52" s="1697" t="s">
        <v>207</v>
      </c>
      <c r="B52" s="1697" t="s">
        <v>208</v>
      </c>
      <c r="C52" s="304"/>
      <c r="D52" s="2921"/>
      <c r="E52" s="2719"/>
      <c r="F52" s="2863" t="str">
        <f>INDEX(PT_DIFFERENTIATION_VTAR,MATCH(A52,PT_DIFFERENTIATION_VTAR_ID,0))</f>
        <v>Плата за подключение (технологическое присоединение) к системе теплоснабжения (индивидуальная)</v>
      </c>
      <c r="G52" s="2895" t="str">
        <f>INDEX(PT_DIFFERENTIATION_NTAR,MATCH(B52,PT_DIFFERENTIATION_NTAR_ID,0))</f>
        <v/>
      </c>
      <c r="H52" s="1901"/>
      <c r="I52" s="1656"/>
      <c r="J52" s="1690"/>
      <c r="K52" s="1780"/>
      <c r="L52" s="1901" t="s">
        <v>308</v>
      </c>
      <c r="M52" s="2693"/>
      <c r="N52" s="270"/>
      <c r="O52" s="1542"/>
      <c r="P52" s="1542"/>
      <c r="AH52" s="1549">
        <v>0</v>
      </c>
    </row>
    <row r="53" spans="1:34" s="2513" customFormat="1" ht="18.75" hidden="1" customHeight="1">
      <c r="A53" s="1697"/>
      <c r="B53" s="1697"/>
      <c r="C53" s="304" t="s">
        <v>1145</v>
      </c>
      <c r="D53" s="2921"/>
      <c r="E53" s="2719"/>
      <c r="F53" s="2863"/>
      <c r="G53" s="2895"/>
      <c r="H53" s="1418"/>
      <c r="I53" s="586" t="s">
        <v>1146</v>
      </c>
      <c r="J53" s="506"/>
      <c r="K53" s="1418"/>
      <c r="L53" s="150"/>
      <c r="M53" s="2693"/>
      <c r="N53" s="270"/>
      <c r="O53" s="1542"/>
      <c r="P53" s="1542"/>
      <c r="AH53" s="1549">
        <v>0</v>
      </c>
    </row>
    <row r="54" spans="1:34" s="2513" customFormat="1" ht="0.75" hidden="1" customHeight="1">
      <c r="A54" s="1697"/>
      <c r="B54" s="1697"/>
      <c r="C54" s="304" t="s">
        <v>1152</v>
      </c>
      <c r="D54" s="2921"/>
      <c r="E54" s="2719"/>
      <c r="F54" s="2863"/>
      <c r="G54" s="335"/>
      <c r="H54" s="1418"/>
      <c r="I54" s="586"/>
      <c r="J54" s="506"/>
      <c r="K54" s="1418"/>
      <c r="L54" s="150"/>
      <c r="M54" s="2693"/>
      <c r="N54" s="270"/>
      <c r="O54" s="1542"/>
      <c r="P54" s="1542"/>
      <c r="AH54" s="1549">
        <v>0</v>
      </c>
    </row>
    <row r="55" spans="1:34" s="2513" customFormat="1" ht="18.75" hidden="1" customHeight="1">
      <c r="A55" s="1697" t="s">
        <v>227</v>
      </c>
      <c r="B55" s="1697" t="s">
        <v>228</v>
      </c>
      <c r="C55" s="304"/>
      <c r="D55" s="2921"/>
      <c r="E55" s="2719"/>
      <c r="F55" s="2863" t="str">
        <f>INDEX(PT_DIFFERENTIATION_VTAR,MATCH(A55,PT_DIFFERENTIATION_VTAR_ID,0))</f>
        <v>Тариф на питьевую воду (питьевое водоснабжение)</v>
      </c>
      <c r="G55" s="2895" t="str">
        <f>INDEX(PT_DIFFERENTIATION_NTAR,MATCH(B55,PT_DIFFERENTIATION_NTAR_ID,0))</f>
        <v/>
      </c>
      <c r="H55" s="1777"/>
      <c r="I55" s="1656"/>
      <c r="J55" s="1690"/>
      <c r="K55" s="1780"/>
      <c r="L55" s="1777" t="s">
        <v>308</v>
      </c>
      <c r="M55" s="2693"/>
      <c r="N55" s="270"/>
      <c r="O55" s="1542"/>
      <c r="P55" s="1542"/>
      <c r="AH55" s="1549">
        <v>0</v>
      </c>
    </row>
    <row r="56" spans="1:34" s="2513" customFormat="1" ht="18.75" hidden="1" customHeight="1">
      <c r="A56" s="1697"/>
      <c r="B56" s="1697"/>
      <c r="C56" s="304" t="s">
        <v>1145</v>
      </c>
      <c r="D56" s="2921"/>
      <c r="E56" s="2719"/>
      <c r="F56" s="2863"/>
      <c r="G56" s="2895"/>
      <c r="H56" s="1418"/>
      <c r="I56" s="586" t="s">
        <v>1146</v>
      </c>
      <c r="J56" s="506"/>
      <c r="K56" s="1418"/>
      <c r="L56" s="150"/>
      <c r="M56" s="2693"/>
      <c r="N56" s="270"/>
      <c r="O56" s="1542"/>
      <c r="P56" s="1542"/>
      <c r="AH56" s="1549">
        <v>0</v>
      </c>
    </row>
    <row r="57" spans="1:34" s="2513" customFormat="1" ht="0.75" hidden="1" customHeight="1">
      <c r="A57" s="1697"/>
      <c r="B57" s="1697"/>
      <c r="C57" s="304" t="s">
        <v>1152</v>
      </c>
      <c r="D57" s="2921"/>
      <c r="E57" s="2719"/>
      <c r="F57" s="2863"/>
      <c r="G57" s="335"/>
      <c r="H57" s="1418"/>
      <c r="I57" s="586"/>
      <c r="J57" s="506"/>
      <c r="K57" s="1418"/>
      <c r="L57" s="150"/>
      <c r="M57" s="2693"/>
      <c r="N57" s="270"/>
      <c r="O57" s="1542"/>
      <c r="P57" s="1542"/>
      <c r="AH57" s="1549">
        <v>0</v>
      </c>
    </row>
    <row r="58" spans="1:34" s="2513" customFormat="1" ht="18.75" hidden="1" customHeight="1">
      <c r="A58" s="1697" t="s">
        <v>232</v>
      </c>
      <c r="B58" s="1697" t="s">
        <v>233</v>
      </c>
      <c r="C58" s="304"/>
      <c r="D58" s="2921"/>
      <c r="E58" s="2719"/>
      <c r="F58" s="2863" t="str">
        <f>INDEX(PT_DIFFERENTIATION_VTAR,MATCH(A58,PT_DIFFERENTIATION_VTAR_ID,0))</f>
        <v>Тариф на техническую воду</v>
      </c>
      <c r="G58" s="2895" t="str">
        <f>INDEX(PT_DIFFERENTIATION_NTAR,MATCH(B58,PT_DIFFERENTIATION_NTAR_ID,0))</f>
        <v/>
      </c>
      <c r="H58" s="1777"/>
      <c r="I58" s="1656"/>
      <c r="J58" s="1690"/>
      <c r="K58" s="1780"/>
      <c r="L58" s="1777" t="s">
        <v>308</v>
      </c>
      <c r="M58" s="2693"/>
      <c r="N58" s="270"/>
      <c r="O58" s="1542"/>
      <c r="P58" s="1542"/>
      <c r="AH58" s="1549">
        <v>0</v>
      </c>
    </row>
    <row r="59" spans="1:34" s="2513" customFormat="1" ht="18.75" hidden="1" customHeight="1">
      <c r="A59" s="1697"/>
      <c r="B59" s="1697"/>
      <c r="C59" s="304" t="s">
        <v>1145</v>
      </c>
      <c r="D59" s="2921"/>
      <c r="E59" s="2719"/>
      <c r="F59" s="2863"/>
      <c r="G59" s="2895"/>
      <c r="H59" s="1418"/>
      <c r="I59" s="586" t="s">
        <v>1146</v>
      </c>
      <c r="J59" s="506"/>
      <c r="K59" s="1418"/>
      <c r="L59" s="150"/>
      <c r="M59" s="2693"/>
      <c r="N59" s="270"/>
      <c r="O59" s="1542"/>
      <c r="P59" s="1542"/>
      <c r="AH59" s="1549">
        <v>0</v>
      </c>
    </row>
    <row r="60" spans="1:34" s="2513" customFormat="1" ht="0.75" hidden="1" customHeight="1">
      <c r="A60" s="1697"/>
      <c r="B60" s="1697"/>
      <c r="C60" s="304" t="s">
        <v>1152</v>
      </c>
      <c r="D60" s="2921"/>
      <c r="E60" s="2719"/>
      <c r="F60" s="2863"/>
      <c r="G60" s="335"/>
      <c r="H60" s="1418"/>
      <c r="I60" s="586"/>
      <c r="J60" s="506"/>
      <c r="K60" s="1418"/>
      <c r="L60" s="150"/>
      <c r="M60" s="2693"/>
      <c r="N60" s="270"/>
      <c r="O60" s="1542"/>
      <c r="P60" s="1542"/>
      <c r="AH60" s="1549">
        <v>0</v>
      </c>
    </row>
    <row r="61" spans="1:34" s="2513" customFormat="1" ht="18.75" hidden="1" customHeight="1">
      <c r="A61" s="1697" t="s">
        <v>237</v>
      </c>
      <c r="B61" s="1697" t="s">
        <v>238</v>
      </c>
      <c r="C61" s="304"/>
      <c r="D61" s="2921"/>
      <c r="E61" s="2719"/>
      <c r="F61" s="2863" t="str">
        <f>INDEX(PT_DIFFERENTIATION_VTAR,MATCH(A61,PT_DIFFERENTIATION_VTAR_ID,0))</f>
        <v>Тариф на транспортировку воды</v>
      </c>
      <c r="G61" s="2895" t="str">
        <f>INDEX(PT_DIFFERENTIATION_NTAR,MATCH(B61,PT_DIFFERENTIATION_NTAR_ID,0))</f>
        <v/>
      </c>
      <c r="H61" s="1777"/>
      <c r="I61" s="1656"/>
      <c r="J61" s="1690"/>
      <c r="K61" s="1780"/>
      <c r="L61" s="1777" t="s">
        <v>308</v>
      </c>
      <c r="M61" s="2693"/>
      <c r="N61" s="270"/>
      <c r="O61" s="1542"/>
      <c r="P61" s="1542"/>
      <c r="AH61" s="1549">
        <v>0</v>
      </c>
    </row>
    <row r="62" spans="1:34" s="2513" customFormat="1" ht="18.75" hidden="1" customHeight="1">
      <c r="A62" s="1697"/>
      <c r="B62" s="1697"/>
      <c r="C62" s="304" t="s">
        <v>1145</v>
      </c>
      <c r="D62" s="2921"/>
      <c r="E62" s="2719"/>
      <c r="F62" s="2863"/>
      <c r="G62" s="2895"/>
      <c r="H62" s="1418"/>
      <c r="I62" s="586" t="s">
        <v>1146</v>
      </c>
      <c r="J62" s="506"/>
      <c r="K62" s="1418"/>
      <c r="L62" s="150"/>
      <c r="M62" s="2693"/>
      <c r="N62" s="270"/>
      <c r="O62" s="1542"/>
      <c r="P62" s="1542"/>
      <c r="AH62" s="1549">
        <v>0</v>
      </c>
    </row>
    <row r="63" spans="1:34" s="2513" customFormat="1" ht="0.75" hidden="1" customHeight="1">
      <c r="A63" s="1697"/>
      <c r="B63" s="1697"/>
      <c r="C63" s="304" t="s">
        <v>1152</v>
      </c>
      <c r="D63" s="2921"/>
      <c r="E63" s="2719"/>
      <c r="F63" s="2863"/>
      <c r="G63" s="335"/>
      <c r="H63" s="1418"/>
      <c r="I63" s="586"/>
      <c r="J63" s="506"/>
      <c r="K63" s="1418"/>
      <c r="L63" s="150"/>
      <c r="M63" s="2693"/>
      <c r="N63" s="270"/>
      <c r="O63" s="1542"/>
      <c r="P63" s="1542"/>
      <c r="AH63" s="1549">
        <v>0</v>
      </c>
    </row>
    <row r="64" spans="1:34" s="2513" customFormat="1" ht="18.75" hidden="1" customHeight="1">
      <c r="A64" s="1697" t="s">
        <v>242</v>
      </c>
      <c r="B64" s="1697" t="s">
        <v>243</v>
      </c>
      <c r="C64" s="304"/>
      <c r="D64" s="2921"/>
      <c r="E64" s="2719"/>
      <c r="F64" s="2863" t="str">
        <f>INDEX(PT_DIFFERENTIATION_VTAR,MATCH(A64,PT_DIFFERENTIATION_VTAR_ID,0))</f>
        <v>Тариф на подвоз воды</v>
      </c>
      <c r="G64" s="2895" t="str">
        <f>INDEX(PT_DIFFERENTIATION_NTAR,MATCH(B64,PT_DIFFERENTIATION_NTAR_ID,0))</f>
        <v/>
      </c>
      <c r="H64" s="1777"/>
      <c r="I64" s="1656"/>
      <c r="J64" s="1690"/>
      <c r="K64" s="1780"/>
      <c r="L64" s="1777" t="s">
        <v>308</v>
      </c>
      <c r="M64" s="2693"/>
      <c r="N64" s="270"/>
      <c r="O64" s="1542"/>
      <c r="P64" s="1542"/>
      <c r="AH64" s="1549">
        <v>0</v>
      </c>
    </row>
    <row r="65" spans="1:34" s="2513" customFormat="1" ht="18.75" hidden="1" customHeight="1">
      <c r="A65" s="1697"/>
      <c r="B65" s="1697"/>
      <c r="C65" s="304" t="s">
        <v>1145</v>
      </c>
      <c r="D65" s="2921"/>
      <c r="E65" s="2719"/>
      <c r="F65" s="2863"/>
      <c r="G65" s="2895"/>
      <c r="H65" s="1418"/>
      <c r="I65" s="586" t="s">
        <v>1146</v>
      </c>
      <c r="J65" s="506"/>
      <c r="K65" s="1418"/>
      <c r="L65" s="150"/>
      <c r="M65" s="2693"/>
      <c r="N65" s="270"/>
      <c r="O65" s="1542"/>
      <c r="P65" s="1542"/>
      <c r="AH65" s="1549">
        <v>0</v>
      </c>
    </row>
    <row r="66" spans="1:34" s="2513" customFormat="1" ht="0.75" hidden="1" customHeight="1">
      <c r="A66" s="1697"/>
      <c r="B66" s="1697"/>
      <c r="C66" s="304" t="s">
        <v>1152</v>
      </c>
      <c r="D66" s="2921"/>
      <c r="E66" s="2719"/>
      <c r="F66" s="2863"/>
      <c r="G66" s="335"/>
      <c r="H66" s="1418"/>
      <c r="I66" s="586"/>
      <c r="J66" s="506"/>
      <c r="K66" s="1418"/>
      <c r="L66" s="150"/>
      <c r="M66" s="2693"/>
      <c r="N66" s="270"/>
      <c r="O66" s="1542"/>
      <c r="P66" s="1542"/>
      <c r="AH66" s="1549">
        <v>0</v>
      </c>
    </row>
    <row r="67" spans="1:34" s="2513" customFormat="1" ht="18.75" hidden="1" customHeight="1">
      <c r="A67" s="1697" t="s">
        <v>247</v>
      </c>
      <c r="B67" s="1697" t="s">
        <v>248</v>
      </c>
      <c r="C67" s="304"/>
      <c r="D67" s="2921"/>
      <c r="E67" s="2719"/>
      <c r="F67" s="2863" t="str">
        <f>INDEX(PT_DIFFERENTIATION_VTAR,MATCH(A67,PT_DIFFERENTIATION_VTAR_ID,0))</f>
        <v>Тариф на подключение (технологическое присоединение) к централизованной системе холодного водоснабжения</v>
      </c>
      <c r="G67" s="2895" t="str">
        <f>INDEX(PT_DIFFERENTIATION_NTAR,MATCH(B67,PT_DIFFERENTIATION_NTAR_ID,0))</f>
        <v/>
      </c>
      <c r="H67" s="1777"/>
      <c r="I67" s="1656"/>
      <c r="J67" s="1690"/>
      <c r="K67" s="1780"/>
      <c r="L67" s="1777" t="s">
        <v>308</v>
      </c>
      <c r="M67" s="2693"/>
      <c r="N67" s="270"/>
      <c r="O67" s="1542"/>
      <c r="P67" s="1542"/>
      <c r="AH67" s="1549">
        <v>0</v>
      </c>
    </row>
    <row r="68" spans="1:34" s="2513" customFormat="1" ht="18.75" hidden="1" customHeight="1">
      <c r="A68" s="1697"/>
      <c r="B68" s="1697"/>
      <c r="C68" s="304" t="s">
        <v>1145</v>
      </c>
      <c r="D68" s="2921"/>
      <c r="E68" s="2719"/>
      <c r="F68" s="2863"/>
      <c r="G68" s="2895"/>
      <c r="H68" s="1418"/>
      <c r="I68" s="586" t="s">
        <v>1146</v>
      </c>
      <c r="J68" s="506"/>
      <c r="K68" s="1418"/>
      <c r="L68" s="150"/>
      <c r="M68" s="2693"/>
      <c r="N68" s="270"/>
      <c r="O68" s="1542"/>
      <c r="P68" s="1542"/>
      <c r="AH68" s="1549">
        <v>0</v>
      </c>
    </row>
    <row r="69" spans="1:34" s="2513" customFormat="1" ht="0.75" hidden="1" customHeight="1">
      <c r="A69" s="1697"/>
      <c r="B69" s="1697"/>
      <c r="C69" s="304" t="s">
        <v>1152</v>
      </c>
      <c r="D69" s="2921"/>
      <c r="E69" s="2719"/>
      <c r="F69" s="2863"/>
      <c r="G69" s="335"/>
      <c r="H69" s="1418"/>
      <c r="I69" s="586"/>
      <c r="J69" s="506"/>
      <c r="K69" s="1418"/>
      <c r="L69" s="150"/>
      <c r="M69" s="2693"/>
      <c r="N69" s="270"/>
      <c r="O69" s="1542"/>
      <c r="P69" s="1542"/>
      <c r="AH69" s="1549">
        <v>0</v>
      </c>
    </row>
    <row r="70" spans="1:34" s="2513" customFormat="1" ht="18.75" hidden="1" customHeight="1">
      <c r="A70" s="1697" t="s">
        <v>252</v>
      </c>
      <c r="B70" s="1697" t="s">
        <v>253</v>
      </c>
      <c r="C70" s="304"/>
      <c r="D70" s="2921"/>
      <c r="E70" s="2719"/>
      <c r="F70" s="2863" t="str">
        <f>INDEX(PT_DIFFERENTIATION_VTAR,MATCH(A70,PT_DIFFERENTIATION_VTAR_ID,0))</f>
        <v>Тариф на горячую воду (горячее водоснабжение)</v>
      </c>
      <c r="G70" s="2895" t="str">
        <f>INDEX(PT_DIFFERENTIATION_NTAR,MATCH(B70,PT_DIFFERENTIATION_NTAR_ID,0))</f>
        <v/>
      </c>
      <c r="H70" s="1777"/>
      <c r="I70" s="1656"/>
      <c r="J70" s="1690"/>
      <c r="K70" s="1780"/>
      <c r="L70" s="1777" t="s">
        <v>308</v>
      </c>
      <c r="M70" s="2693"/>
      <c r="N70" s="270"/>
      <c r="O70" s="1542"/>
      <c r="P70" s="1542"/>
      <c r="AH70" s="1549">
        <v>0</v>
      </c>
    </row>
    <row r="71" spans="1:34" s="2513" customFormat="1" ht="18.75" hidden="1" customHeight="1">
      <c r="A71" s="1697"/>
      <c r="B71" s="1697"/>
      <c r="C71" s="304" t="s">
        <v>1145</v>
      </c>
      <c r="D71" s="2921"/>
      <c r="E71" s="2719"/>
      <c r="F71" s="2863"/>
      <c r="G71" s="2895"/>
      <c r="H71" s="1418"/>
      <c r="I71" s="586" t="s">
        <v>1146</v>
      </c>
      <c r="J71" s="506"/>
      <c r="K71" s="1418"/>
      <c r="L71" s="150"/>
      <c r="M71" s="2693"/>
      <c r="N71" s="270"/>
      <c r="O71" s="1542"/>
      <c r="P71" s="1542"/>
      <c r="AH71" s="1549">
        <v>0</v>
      </c>
    </row>
    <row r="72" spans="1:34" s="2513" customFormat="1" ht="0.75" hidden="1" customHeight="1">
      <c r="A72" s="1697"/>
      <c r="B72" s="1697"/>
      <c r="C72" s="304" t="s">
        <v>1152</v>
      </c>
      <c r="D72" s="2921"/>
      <c r="E72" s="2719"/>
      <c r="F72" s="2863"/>
      <c r="G72" s="335"/>
      <c r="H72" s="1418"/>
      <c r="I72" s="586"/>
      <c r="J72" s="506"/>
      <c r="K72" s="1418"/>
      <c r="L72" s="150"/>
      <c r="M72" s="2693"/>
      <c r="N72" s="270"/>
      <c r="O72" s="1542"/>
      <c r="P72" s="1542"/>
      <c r="AH72" s="1549">
        <v>0</v>
      </c>
    </row>
    <row r="73" spans="1:34" s="2513" customFormat="1" ht="18.75" hidden="1" customHeight="1">
      <c r="A73" s="1697" t="s">
        <v>257</v>
      </c>
      <c r="B73" s="1697" t="s">
        <v>258</v>
      </c>
      <c r="C73" s="304"/>
      <c r="D73" s="2921"/>
      <c r="E73" s="2719"/>
      <c r="F73" s="2863" t="str">
        <f>INDEX(PT_DIFFERENTIATION_VTAR,MATCH(A73,PT_DIFFERENTIATION_VTAR_ID,0))</f>
        <v>Тариф на транспортировку горячей воды</v>
      </c>
      <c r="G73" s="2895" t="str">
        <f>INDEX(PT_DIFFERENTIATION_NTAR,MATCH(B73,PT_DIFFERENTIATION_NTAR_ID,0))</f>
        <v/>
      </c>
      <c r="H73" s="1777"/>
      <c r="I73" s="1656"/>
      <c r="J73" s="1690"/>
      <c r="K73" s="1780"/>
      <c r="L73" s="1777" t="s">
        <v>308</v>
      </c>
      <c r="M73" s="2693"/>
      <c r="N73" s="270"/>
      <c r="O73" s="1542"/>
      <c r="P73" s="1542"/>
      <c r="AH73" s="1549">
        <v>0</v>
      </c>
    </row>
    <row r="74" spans="1:34" s="2513" customFormat="1" ht="18.75" hidden="1" customHeight="1">
      <c r="A74" s="1697"/>
      <c r="B74" s="1697"/>
      <c r="C74" s="304" t="s">
        <v>1145</v>
      </c>
      <c r="D74" s="2921"/>
      <c r="E74" s="2719"/>
      <c r="F74" s="2863"/>
      <c r="G74" s="2895"/>
      <c r="H74" s="1418"/>
      <c r="I74" s="586" t="s">
        <v>1146</v>
      </c>
      <c r="J74" s="506"/>
      <c r="K74" s="1418"/>
      <c r="L74" s="150"/>
      <c r="M74" s="2693"/>
      <c r="N74" s="270"/>
      <c r="O74" s="1542"/>
      <c r="P74" s="1542"/>
      <c r="AH74" s="1549">
        <v>0</v>
      </c>
    </row>
    <row r="75" spans="1:34" s="2513" customFormat="1" ht="0.75" hidden="1" customHeight="1">
      <c r="A75" s="1697"/>
      <c r="B75" s="1697"/>
      <c r="C75" s="304" t="s">
        <v>1152</v>
      </c>
      <c r="D75" s="2921"/>
      <c r="E75" s="2719"/>
      <c r="F75" s="2863"/>
      <c r="G75" s="335"/>
      <c r="H75" s="1418"/>
      <c r="I75" s="586"/>
      <c r="J75" s="506"/>
      <c r="K75" s="1418"/>
      <c r="L75" s="150"/>
      <c r="M75" s="2693"/>
      <c r="N75" s="270"/>
      <c r="O75" s="1542"/>
      <c r="P75" s="1542"/>
      <c r="AH75" s="1549">
        <v>0</v>
      </c>
    </row>
    <row r="76" spans="1:34" s="2513" customFormat="1" ht="18.75" hidden="1" customHeight="1">
      <c r="A76" s="1697" t="s">
        <v>262</v>
      </c>
      <c r="B76" s="1697" t="s">
        <v>263</v>
      </c>
      <c r="C76" s="304"/>
      <c r="D76" s="2921"/>
      <c r="E76" s="2719"/>
      <c r="F76" s="2863" t="str">
        <f>INDEX(PT_DIFFERENTIATION_VTAR,MATCH(A76,PT_DIFFERENTIATION_VTAR_ID,0))</f>
        <v>Тариф на подключение (технологическое присоединение) к централизованной системе горячего водоснабжения</v>
      </c>
      <c r="G76" s="2895" t="str">
        <f>INDEX(PT_DIFFERENTIATION_NTAR,MATCH(B76,PT_DIFFERENTIATION_NTAR_ID,0))</f>
        <v/>
      </c>
      <c r="H76" s="1777"/>
      <c r="I76" s="1656"/>
      <c r="J76" s="1690"/>
      <c r="K76" s="1780"/>
      <c r="L76" s="1777" t="s">
        <v>308</v>
      </c>
      <c r="M76" s="2693"/>
      <c r="N76" s="270"/>
      <c r="O76" s="1542"/>
      <c r="P76" s="1542"/>
      <c r="AH76" s="1549">
        <v>0</v>
      </c>
    </row>
    <row r="77" spans="1:34" s="2513" customFormat="1" ht="18.75" hidden="1" customHeight="1">
      <c r="A77" s="1697"/>
      <c r="B77" s="1697"/>
      <c r="C77" s="304" t="s">
        <v>1145</v>
      </c>
      <c r="D77" s="2921"/>
      <c r="E77" s="2719"/>
      <c r="F77" s="2863"/>
      <c r="G77" s="2895"/>
      <c r="H77" s="1418"/>
      <c r="I77" s="586" t="s">
        <v>1146</v>
      </c>
      <c r="J77" s="506"/>
      <c r="K77" s="1418"/>
      <c r="L77" s="150"/>
      <c r="M77" s="2693"/>
      <c r="N77" s="270"/>
      <c r="O77" s="1542"/>
      <c r="P77" s="1542"/>
      <c r="AH77" s="1549">
        <v>0</v>
      </c>
    </row>
    <row r="78" spans="1:34" s="2513" customFormat="1" ht="0.75" hidden="1" customHeight="1">
      <c r="A78" s="1697"/>
      <c r="B78" s="1697"/>
      <c r="C78" s="304" t="s">
        <v>1152</v>
      </c>
      <c r="D78" s="2921"/>
      <c r="E78" s="2719"/>
      <c r="F78" s="2863"/>
      <c r="G78" s="335"/>
      <c r="H78" s="1418"/>
      <c r="I78" s="586"/>
      <c r="J78" s="506"/>
      <c r="K78" s="1418"/>
      <c r="L78" s="150"/>
      <c r="M78" s="2693"/>
      <c r="N78" s="270"/>
      <c r="O78" s="1542"/>
      <c r="P78" s="1542"/>
      <c r="AH78" s="1549">
        <v>0</v>
      </c>
    </row>
    <row r="79" spans="1:34" s="2513" customFormat="1" ht="18.75" hidden="1" customHeight="1">
      <c r="A79" s="1697" t="s">
        <v>267</v>
      </c>
      <c r="B79" s="1697" t="s">
        <v>268</v>
      </c>
      <c r="C79" s="304"/>
      <c r="D79" s="2921"/>
      <c r="E79" s="2719"/>
      <c r="F79" s="2863" t="str">
        <f>INDEX(PT_DIFFERENTIATION_VTAR,MATCH(A79,PT_DIFFERENTIATION_VTAR_ID,0))</f>
        <v>Тариф на водоотведение</v>
      </c>
      <c r="G79" s="2895" t="str">
        <f>INDEX(PT_DIFFERENTIATION_NTAR,MATCH(B79,PT_DIFFERENTIATION_NTAR_ID,0))</f>
        <v/>
      </c>
      <c r="H79" s="1777"/>
      <c r="I79" s="1656"/>
      <c r="J79" s="1690"/>
      <c r="K79" s="1780"/>
      <c r="L79" s="1777" t="s">
        <v>308</v>
      </c>
      <c r="M79" s="2693"/>
      <c r="N79" s="270"/>
      <c r="O79" s="1542"/>
      <c r="P79" s="1542"/>
      <c r="AH79" s="1549">
        <v>0</v>
      </c>
    </row>
    <row r="80" spans="1:34" s="2513" customFormat="1" ht="18.75" hidden="1" customHeight="1">
      <c r="A80" s="1697"/>
      <c r="B80" s="1697"/>
      <c r="C80" s="304" t="s">
        <v>1145</v>
      </c>
      <c r="D80" s="2921"/>
      <c r="E80" s="2719"/>
      <c r="F80" s="2863"/>
      <c r="G80" s="2895"/>
      <c r="H80" s="1418"/>
      <c r="I80" s="586" t="s">
        <v>1146</v>
      </c>
      <c r="J80" s="506"/>
      <c r="K80" s="1418"/>
      <c r="L80" s="150"/>
      <c r="M80" s="2693"/>
      <c r="N80" s="270"/>
      <c r="O80" s="1542"/>
      <c r="P80" s="1542"/>
      <c r="AH80" s="1549">
        <v>0</v>
      </c>
    </row>
    <row r="81" spans="1:34" s="2513" customFormat="1" ht="0.75" hidden="1" customHeight="1">
      <c r="A81" s="1697"/>
      <c r="B81" s="1697"/>
      <c r="C81" s="304" t="s">
        <v>1152</v>
      </c>
      <c r="D81" s="2921"/>
      <c r="E81" s="2719"/>
      <c r="F81" s="2863"/>
      <c r="G81" s="335"/>
      <c r="H81" s="1418"/>
      <c r="I81" s="586"/>
      <c r="J81" s="506"/>
      <c r="K81" s="1418"/>
      <c r="L81" s="150"/>
      <c r="M81" s="2693"/>
      <c r="N81" s="270"/>
      <c r="O81" s="1542"/>
      <c r="P81" s="1542"/>
      <c r="AH81" s="1549">
        <v>0</v>
      </c>
    </row>
    <row r="82" spans="1:34" s="2513" customFormat="1" ht="18.75" hidden="1" customHeight="1">
      <c r="A82" s="1697" t="s">
        <v>272</v>
      </c>
      <c r="B82" s="1697" t="s">
        <v>273</v>
      </c>
      <c r="C82" s="304"/>
      <c r="D82" s="2921"/>
      <c r="E82" s="2719"/>
      <c r="F82" s="2863" t="str">
        <f>INDEX(PT_DIFFERENTIATION_VTAR,MATCH(A82,PT_DIFFERENTIATION_VTAR_ID,0))</f>
        <v>Тариф на транспортировку сточных вод</v>
      </c>
      <c r="G82" s="2895" t="str">
        <f>INDEX(PT_DIFFERENTIATION_NTAR,MATCH(B82,PT_DIFFERENTIATION_NTAR_ID,0))</f>
        <v/>
      </c>
      <c r="H82" s="1777"/>
      <c r="I82" s="1656"/>
      <c r="J82" s="1690"/>
      <c r="K82" s="1780"/>
      <c r="L82" s="1777" t="s">
        <v>308</v>
      </c>
      <c r="M82" s="2693"/>
      <c r="N82" s="270"/>
      <c r="O82" s="1542"/>
      <c r="P82" s="1542"/>
      <c r="AH82" s="1549">
        <v>0</v>
      </c>
    </row>
    <row r="83" spans="1:34" s="2513" customFormat="1" ht="18.75" hidden="1" customHeight="1">
      <c r="A83" s="1697"/>
      <c r="B83" s="1697"/>
      <c r="C83" s="304" t="s">
        <v>1145</v>
      </c>
      <c r="D83" s="2921"/>
      <c r="E83" s="2719"/>
      <c r="F83" s="2863"/>
      <c r="G83" s="2895"/>
      <c r="H83" s="1418"/>
      <c r="I83" s="586" t="s">
        <v>1146</v>
      </c>
      <c r="J83" s="506"/>
      <c r="K83" s="1418"/>
      <c r="L83" s="150"/>
      <c r="M83" s="2693"/>
      <c r="N83" s="270"/>
      <c r="O83" s="1542"/>
      <c r="P83" s="1542"/>
      <c r="AH83" s="1549">
        <v>0</v>
      </c>
    </row>
    <row r="84" spans="1:34" s="2513" customFormat="1" ht="0.75" hidden="1" customHeight="1">
      <c r="A84" s="1697"/>
      <c r="B84" s="1697"/>
      <c r="C84" s="304" t="s">
        <v>1152</v>
      </c>
      <c r="D84" s="2921"/>
      <c r="E84" s="2719"/>
      <c r="F84" s="2863"/>
      <c r="G84" s="335"/>
      <c r="H84" s="1418"/>
      <c r="I84" s="586"/>
      <c r="J84" s="506"/>
      <c r="K84" s="1418"/>
      <c r="L84" s="150"/>
      <c r="M84" s="2693"/>
      <c r="N84" s="270"/>
      <c r="O84" s="1542"/>
      <c r="P84" s="1542"/>
      <c r="AH84" s="1549">
        <v>0</v>
      </c>
    </row>
    <row r="85" spans="1:34" s="2513" customFormat="1" ht="18.75" hidden="1" customHeight="1">
      <c r="A85" s="1697" t="s">
        <v>277</v>
      </c>
      <c r="B85" s="1697" t="s">
        <v>278</v>
      </c>
      <c r="C85" s="304"/>
      <c r="D85" s="2921"/>
      <c r="E85" s="2719"/>
      <c r="F85" s="2863" t="str">
        <f>INDEX(PT_DIFFERENTIATION_VTAR,MATCH(A85,PT_DIFFERENTIATION_VTAR_ID,0))</f>
        <v>Тариф на подключение (технологическое присоединение) к централизованной системе водоотведения</v>
      </c>
      <c r="G85" s="2895" t="str">
        <f>INDEX(PT_DIFFERENTIATION_NTAR,MATCH(B85,PT_DIFFERENTIATION_NTAR_ID,0))</f>
        <v/>
      </c>
      <c r="H85" s="1777"/>
      <c r="I85" s="1656"/>
      <c r="J85" s="1690"/>
      <c r="K85" s="1780"/>
      <c r="L85" s="1777" t="s">
        <v>308</v>
      </c>
      <c r="M85" s="2693"/>
      <c r="N85" s="270"/>
      <c r="O85" s="1542"/>
      <c r="P85" s="1542"/>
      <c r="AH85" s="1549">
        <v>0</v>
      </c>
    </row>
    <row r="86" spans="1:34" s="2513" customFormat="1" ht="18.75" hidden="1" customHeight="1">
      <c r="A86" s="1697"/>
      <c r="B86" s="1697"/>
      <c r="C86" s="304" t="s">
        <v>1145</v>
      </c>
      <c r="D86" s="2921"/>
      <c r="E86" s="2719"/>
      <c r="F86" s="2863"/>
      <c r="G86" s="2895"/>
      <c r="H86" s="1418"/>
      <c r="I86" s="586" t="s">
        <v>1146</v>
      </c>
      <c r="J86" s="506"/>
      <c r="K86" s="1418"/>
      <c r="L86" s="150"/>
      <c r="M86" s="2693"/>
      <c r="N86" s="270"/>
      <c r="O86" s="1542"/>
      <c r="P86" s="1542"/>
      <c r="AH86" s="1549">
        <v>0</v>
      </c>
    </row>
    <row r="87" spans="1:34" s="2513" customFormat="1" ht="1.1499999999999999" customHeight="1">
      <c r="A87" s="1697"/>
      <c r="B87" s="1697"/>
      <c r="C87" s="304" t="s">
        <v>1152</v>
      </c>
      <c r="D87" s="2921"/>
      <c r="E87" s="2719"/>
      <c r="F87" s="2863"/>
      <c r="G87" s="335"/>
      <c r="H87" s="1418"/>
      <c r="I87" s="586"/>
      <c r="J87" s="506"/>
      <c r="K87" s="1418"/>
      <c r="L87" s="150"/>
      <c r="M87" s="2693"/>
      <c r="N87" s="270"/>
      <c r="O87" s="1542"/>
      <c r="P87" s="1542"/>
      <c r="AH87" s="1549">
        <v>1</v>
      </c>
    </row>
    <row r="88" spans="1:34" ht="19.899999999999999" customHeight="1">
      <c r="A88" s="1697"/>
      <c r="B88" s="1697"/>
      <c r="D88" s="311"/>
      <c r="E88" s="84" t="s">
        <v>109</v>
      </c>
      <c r="F88" s="291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8" s="2919"/>
      <c r="H88" s="2919"/>
      <c r="I88" s="2919"/>
      <c r="J88" s="2919"/>
      <c r="K88" s="2919"/>
      <c r="L88" s="2919"/>
      <c r="M88" s="233"/>
      <c r="N88" s="270"/>
      <c r="AH88" s="309">
        <v>19</v>
      </c>
    </row>
    <row r="89" spans="1:34" ht="36" customHeight="1">
      <c r="A89" s="1697"/>
      <c r="B89" s="1697"/>
      <c r="D89" s="311"/>
      <c r="E89" s="334"/>
      <c r="F89" s="134" t="s">
        <v>308</v>
      </c>
      <c r="G89" s="134" t="s">
        <v>308</v>
      </c>
      <c r="H89" s="2733" t="s">
        <v>308</v>
      </c>
      <c r="I89" s="2735"/>
      <c r="J89" s="134" t="s">
        <v>308</v>
      </c>
      <c r="K89" s="134" t="s">
        <v>308</v>
      </c>
      <c r="L89" s="2506" t="s">
        <v>2868</v>
      </c>
      <c r="M89" s="281" t="s">
        <v>1153</v>
      </c>
      <c r="N89" s="270"/>
      <c r="AH89" s="309">
        <v>34</v>
      </c>
    </row>
    <row r="90" spans="1:34" ht="19.899999999999999" customHeight="1">
      <c r="A90" s="1697"/>
      <c r="B90" s="1697"/>
      <c r="D90" s="311"/>
      <c r="E90" s="84" t="s">
        <v>89</v>
      </c>
      <c r="F90" s="2919" t="s">
        <v>1154</v>
      </c>
      <c r="G90" s="2919"/>
      <c r="H90" s="2919"/>
      <c r="I90" s="2919"/>
      <c r="J90" s="2919"/>
      <c r="K90" s="2919"/>
      <c r="L90" s="2919"/>
      <c r="M90" s="233"/>
      <c r="N90" s="270"/>
      <c r="AH90" s="309">
        <v>19</v>
      </c>
    </row>
    <row r="91" spans="1:34" s="2513" customFormat="1" ht="60.75" customHeight="1">
      <c r="A91" s="1697" t="s">
        <v>155</v>
      </c>
      <c r="B91" s="1697" t="s">
        <v>156</v>
      </c>
      <c r="C91" s="304"/>
      <c r="D91" s="2921"/>
      <c r="E91" s="2719"/>
      <c r="F91" s="2863" t="str">
        <f>INDEX(PT_DIFFERENTIATION_VTAR,MATCH(A91,PT_DIFFERENTIATION_VTAR_ID,0))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1" s="2895" t="str">
        <f>INDEX(PT_DIFFERENTIATION_NTAR,MATCH(B91,PT_DIFFERENTIATION_NTAR_ID,0))</f>
        <v>Долгосрочный тариф на тепловую энергию для потребителей ООО "Ноябрьская ПГЭ" на 2025 - 2029 годы</v>
      </c>
      <c r="H91" s="1777"/>
      <c r="I91" s="2499">
        <v>45658</v>
      </c>
      <c r="J91" s="1690">
        <v>46022</v>
      </c>
      <c r="K91" s="2580">
        <v>658525.43999999994</v>
      </c>
      <c r="L91" s="1777" t="s">
        <v>308</v>
      </c>
      <c r="M91" s="26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1" s="270"/>
      <c r="O91" s="1542"/>
      <c r="P91" s="1542"/>
      <c r="AH91" s="1549">
        <v>0</v>
      </c>
    </row>
    <row r="92" spans="1:34" s="2567" customFormat="1" ht="56.25" customHeight="1">
      <c r="A92" s="2501"/>
      <c r="B92" s="2501"/>
      <c r="C92" s="2502"/>
      <c r="D92" s="2922"/>
      <c r="E92" s="2920"/>
      <c r="F92" s="2920"/>
      <c r="G92" s="2920"/>
      <c r="H92" s="2280" t="s">
        <v>427</v>
      </c>
      <c r="I92" s="2499">
        <v>46023</v>
      </c>
      <c r="J92" s="2500">
        <v>46387</v>
      </c>
      <c r="K92" s="2580">
        <v>589967.5</v>
      </c>
      <c r="L92" s="2281" t="s">
        <v>308</v>
      </c>
      <c r="M92" s="2808"/>
      <c r="N92" s="2504"/>
      <c r="O92" s="2505"/>
      <c r="P92" s="2505"/>
      <c r="Q92" s="2050"/>
      <c r="R92" s="2050"/>
      <c r="S92" s="2050"/>
      <c r="T92" s="2050"/>
      <c r="U92" s="2050"/>
      <c r="V92" s="2050"/>
      <c r="W92" s="2050"/>
      <c r="X92" s="2050"/>
      <c r="Y92" s="2050"/>
      <c r="Z92" s="2050"/>
      <c r="AA92" s="2050"/>
      <c r="AB92" s="2050"/>
      <c r="AC92" s="2050"/>
      <c r="AD92" s="2050"/>
      <c r="AE92" s="2050"/>
      <c r="AF92" s="2050"/>
      <c r="AG92" s="2050"/>
      <c r="AH92" s="2050">
        <v>0</v>
      </c>
    </row>
    <row r="93" spans="1:34" s="2567" customFormat="1" ht="56.25" customHeight="1">
      <c r="A93" s="2501"/>
      <c r="B93" s="2501"/>
      <c r="C93" s="2502"/>
      <c r="D93" s="2922"/>
      <c r="E93" s="2920"/>
      <c r="F93" s="2920"/>
      <c r="G93" s="2920"/>
      <c r="H93" s="2280" t="s">
        <v>427</v>
      </c>
      <c r="I93" s="2499">
        <v>46388</v>
      </c>
      <c r="J93" s="2500">
        <v>46752</v>
      </c>
      <c r="K93" s="2580">
        <v>612685.43000000005</v>
      </c>
      <c r="L93" s="2281" t="s">
        <v>308</v>
      </c>
      <c r="M93" s="2808"/>
      <c r="N93" s="2504"/>
      <c r="O93" s="2505"/>
      <c r="P93" s="2505"/>
      <c r="Q93" s="2050"/>
      <c r="R93" s="2050"/>
      <c r="S93" s="2050"/>
      <c r="T93" s="2050"/>
      <c r="U93" s="2050"/>
      <c r="V93" s="2050"/>
      <c r="W93" s="2050"/>
      <c r="X93" s="2050"/>
      <c r="Y93" s="2050"/>
      <c r="Z93" s="2050"/>
      <c r="AA93" s="2050"/>
      <c r="AB93" s="2050"/>
      <c r="AC93" s="2050"/>
      <c r="AD93" s="2050"/>
      <c r="AE93" s="2050"/>
      <c r="AF93" s="2050"/>
      <c r="AG93" s="2050"/>
      <c r="AH93" s="2050">
        <v>0</v>
      </c>
    </row>
    <row r="94" spans="1:34" s="2567" customFormat="1" ht="56.25" customHeight="1">
      <c r="A94" s="2501"/>
      <c r="B94" s="2501"/>
      <c r="C94" s="2502"/>
      <c r="D94" s="2922"/>
      <c r="E94" s="2920"/>
      <c r="F94" s="2920"/>
      <c r="G94" s="2920"/>
      <c r="H94" s="2280" t="s">
        <v>427</v>
      </c>
      <c r="I94" s="2499">
        <v>46753</v>
      </c>
      <c r="J94" s="2500">
        <v>47118</v>
      </c>
      <c r="K94" s="2580">
        <v>635557.75</v>
      </c>
      <c r="L94" s="2281" t="s">
        <v>308</v>
      </c>
      <c r="M94" s="2808"/>
      <c r="N94" s="2504"/>
      <c r="O94" s="2505"/>
      <c r="P94" s="2505"/>
      <c r="Q94" s="2050"/>
      <c r="R94" s="2050"/>
      <c r="S94" s="2050"/>
      <c r="T94" s="2050"/>
      <c r="U94" s="2050"/>
      <c r="V94" s="2050"/>
      <c r="W94" s="2050"/>
      <c r="X94" s="2050"/>
      <c r="Y94" s="2050"/>
      <c r="Z94" s="2050"/>
      <c r="AA94" s="2050"/>
      <c r="AB94" s="2050"/>
      <c r="AC94" s="2050"/>
      <c r="AD94" s="2050"/>
      <c r="AE94" s="2050"/>
      <c r="AF94" s="2050"/>
      <c r="AG94" s="2050"/>
      <c r="AH94" s="2050">
        <v>0</v>
      </c>
    </row>
    <row r="95" spans="1:34" s="2567" customFormat="1" ht="56.25" customHeight="1">
      <c r="A95" s="2501"/>
      <c r="B95" s="2501"/>
      <c r="C95" s="2502"/>
      <c r="D95" s="2922"/>
      <c r="E95" s="2920"/>
      <c r="F95" s="2920"/>
      <c r="G95" s="2920"/>
      <c r="H95" s="2280" t="s">
        <v>427</v>
      </c>
      <c r="I95" s="2499">
        <v>47119</v>
      </c>
      <c r="J95" s="2500">
        <v>47483</v>
      </c>
      <c r="K95" s="2580">
        <v>660594.43000000005</v>
      </c>
      <c r="L95" s="2281" t="s">
        <v>308</v>
      </c>
      <c r="M95" s="2808"/>
      <c r="N95" s="2504"/>
      <c r="O95" s="2505"/>
      <c r="P95" s="2505"/>
      <c r="Q95" s="2050"/>
      <c r="R95" s="2050"/>
      <c r="S95" s="2050"/>
      <c r="T95" s="2050"/>
      <c r="U95" s="2050"/>
      <c r="V95" s="2050"/>
      <c r="W95" s="2050"/>
      <c r="X95" s="2050"/>
      <c r="Y95" s="2050"/>
      <c r="Z95" s="2050"/>
      <c r="AA95" s="2050"/>
      <c r="AB95" s="2050"/>
      <c r="AC95" s="2050"/>
      <c r="AD95" s="2050"/>
      <c r="AE95" s="2050"/>
      <c r="AF95" s="2050"/>
      <c r="AG95" s="2050"/>
      <c r="AH95" s="2050">
        <v>0</v>
      </c>
    </row>
    <row r="96" spans="1:34" s="2513" customFormat="1" ht="18.75" customHeight="1">
      <c r="A96" s="1697"/>
      <c r="B96" s="1697"/>
      <c r="C96" s="304" t="s">
        <v>1147</v>
      </c>
      <c r="D96" s="2921"/>
      <c r="E96" s="2719"/>
      <c r="F96" s="2863"/>
      <c r="G96" s="2895"/>
      <c r="H96" s="1418"/>
      <c r="I96" s="586" t="s">
        <v>1146</v>
      </c>
      <c r="J96" s="506"/>
      <c r="K96" s="1418"/>
      <c r="L96" s="150"/>
      <c r="M96" s="2693"/>
      <c r="N96" s="270"/>
      <c r="O96" s="1542"/>
      <c r="P96" s="1542"/>
      <c r="AH96" s="1549">
        <v>0</v>
      </c>
    </row>
    <row r="97" spans="1:34" s="2513" customFormat="1" ht="0.75" customHeight="1">
      <c r="A97" s="1697"/>
      <c r="B97" s="1697"/>
      <c r="C97" s="304" t="s">
        <v>1155</v>
      </c>
      <c r="D97" s="2921"/>
      <c r="E97" s="2719"/>
      <c r="F97" s="2863"/>
      <c r="G97" s="335"/>
      <c r="H97" s="1418"/>
      <c r="I97" s="586"/>
      <c r="J97" s="506"/>
      <c r="K97" s="1418"/>
      <c r="L97" s="150"/>
      <c r="M97" s="2693"/>
      <c r="N97" s="270"/>
      <c r="O97" s="1542"/>
      <c r="P97" s="1542"/>
      <c r="AH97" s="1549">
        <v>0</v>
      </c>
    </row>
    <row r="98" spans="1:34" s="2513" customFormat="1" ht="45" hidden="1" customHeight="1">
      <c r="A98" s="1697" t="s">
        <v>165</v>
      </c>
      <c r="B98" s="1697" t="s">
        <v>166</v>
      </c>
      <c r="C98" s="304"/>
      <c r="D98" s="2921"/>
      <c r="E98" s="2719"/>
      <c r="F98" s="2863" t="str">
        <f>INDEX(PT_DIFFERENTIATION_VTAR,MATCH(A98,PT_DIFFERENTIATION_VTAR_ID,0))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8" s="2895" t="str">
        <f>INDEX(PT_DIFFERENTIATION_NTAR,MATCH(B98,PT_DIFFERENTIATION_NTAR_ID,0))</f>
        <v/>
      </c>
      <c r="H98" s="1777"/>
      <c r="I98" s="1656"/>
      <c r="J98" s="1690"/>
      <c r="K98" s="1695"/>
      <c r="L98" s="1777" t="s">
        <v>308</v>
      </c>
      <c r="M98" s="2694"/>
      <c r="N98" s="270"/>
      <c r="O98" s="1542"/>
      <c r="P98" s="1542"/>
      <c r="AH98" s="1549">
        <v>0</v>
      </c>
    </row>
    <row r="99" spans="1:34" s="2513" customFormat="1" ht="18.75" hidden="1" customHeight="1">
      <c r="A99" s="1697"/>
      <c r="B99" s="1697"/>
      <c r="C99" s="304" t="s">
        <v>1147</v>
      </c>
      <c r="D99" s="2921"/>
      <c r="E99" s="2719"/>
      <c r="F99" s="2863"/>
      <c r="G99" s="2895"/>
      <c r="H99" s="1418"/>
      <c r="I99" s="586" t="s">
        <v>1146</v>
      </c>
      <c r="J99" s="506"/>
      <c r="K99" s="1418"/>
      <c r="L99" s="150"/>
      <c r="M99" s="1776"/>
      <c r="N99" s="270"/>
      <c r="O99" s="1542"/>
      <c r="P99" s="1542"/>
      <c r="AH99" s="1549">
        <v>0</v>
      </c>
    </row>
    <row r="100" spans="1:34" s="2513" customFormat="1" ht="0.75" hidden="1" customHeight="1">
      <c r="A100" s="1697"/>
      <c r="B100" s="1697"/>
      <c r="C100" s="304" t="s">
        <v>1155</v>
      </c>
      <c r="D100" s="2921"/>
      <c r="E100" s="2719"/>
      <c r="F100" s="2863"/>
      <c r="G100" s="335"/>
      <c r="H100" s="1418"/>
      <c r="I100" s="586"/>
      <c r="J100" s="506"/>
      <c r="K100" s="1418"/>
      <c r="L100" s="150"/>
      <c r="M100" s="277"/>
      <c r="N100" s="270"/>
      <c r="O100" s="1542"/>
      <c r="P100" s="1542"/>
      <c r="AH100" s="1549">
        <v>0</v>
      </c>
    </row>
    <row r="101" spans="1:34" s="2513" customFormat="1" ht="45" hidden="1" customHeight="1">
      <c r="A101" s="1697" t="s">
        <v>171</v>
      </c>
      <c r="B101" s="1697" t="s">
        <v>172</v>
      </c>
      <c r="C101" s="304"/>
      <c r="D101" s="2921"/>
      <c r="E101" s="2719"/>
      <c r="F101" s="2863" t="str">
        <f>INDEX(PT_DIFFERENTIATION_VTAR,MATCH(A101,PT_DIFFERENTIATION_VTAR_ID,0))</f>
        <v>Тарифы на теплоноситель, поставляемый теплоснабжающими организациями потребителям, другим теплоснабжающим организациям</v>
      </c>
      <c r="G101" s="2895" t="str">
        <f>INDEX(PT_DIFFERENTIATION_NTAR,MATCH(B101,PT_DIFFERENTIATION_NTAR_ID,0))</f>
        <v/>
      </c>
      <c r="H101" s="1777"/>
      <c r="I101" s="1656"/>
      <c r="J101" s="1690"/>
      <c r="K101" s="1695"/>
      <c r="L101" s="1777" t="s">
        <v>308</v>
      </c>
      <c r="M101" s="277"/>
      <c r="N101" s="270"/>
      <c r="O101" s="1542"/>
      <c r="P101" s="1542"/>
      <c r="AH101" s="1549">
        <v>0</v>
      </c>
    </row>
    <row r="102" spans="1:34" s="2513" customFormat="1" ht="18.75" hidden="1" customHeight="1">
      <c r="A102" s="1697"/>
      <c r="B102" s="1697"/>
      <c r="C102" s="304" t="s">
        <v>1147</v>
      </c>
      <c r="D102" s="2921"/>
      <c r="E102" s="2719"/>
      <c r="F102" s="2863"/>
      <c r="G102" s="2895"/>
      <c r="H102" s="1418"/>
      <c r="I102" s="586" t="s">
        <v>1146</v>
      </c>
      <c r="J102" s="506"/>
      <c r="K102" s="1418"/>
      <c r="L102" s="150"/>
      <c r="M102" s="277"/>
      <c r="N102" s="270"/>
      <c r="O102" s="1542"/>
      <c r="P102" s="1542"/>
      <c r="AH102" s="1549">
        <v>0</v>
      </c>
    </row>
    <row r="103" spans="1:34" s="2513" customFormat="1" ht="0.75" hidden="1" customHeight="1">
      <c r="A103" s="1697"/>
      <c r="B103" s="1697"/>
      <c r="C103" s="304" t="s">
        <v>1155</v>
      </c>
      <c r="D103" s="2921"/>
      <c r="E103" s="2719"/>
      <c r="F103" s="2863"/>
      <c r="G103" s="335"/>
      <c r="H103" s="1418"/>
      <c r="I103" s="586"/>
      <c r="J103" s="506"/>
      <c r="K103" s="1418"/>
      <c r="L103" s="150"/>
      <c r="M103" s="277"/>
      <c r="N103" s="270"/>
      <c r="O103" s="1542"/>
      <c r="P103" s="1542"/>
      <c r="AH103" s="1549">
        <v>0</v>
      </c>
    </row>
    <row r="104" spans="1:34" s="2513" customFormat="1" ht="45" hidden="1" customHeight="1">
      <c r="A104" s="1697" t="s">
        <v>177</v>
      </c>
      <c r="B104" s="1697" t="s">
        <v>178</v>
      </c>
      <c r="C104" s="304"/>
      <c r="D104" s="2921"/>
      <c r="E104" s="2719"/>
      <c r="F104" s="2863" t="str">
        <f>INDEX(PT_DIFFERENTIATION_VTAR,MATCH(A104,PT_DIFFERENTIATION_VTAR_ID,0))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4" s="2895" t="str">
        <f>INDEX(PT_DIFFERENTIATION_NTAR,MATCH(B104,PT_DIFFERENTIATION_NTAR_ID,0))</f>
        <v/>
      </c>
      <c r="H104" s="1777"/>
      <c r="I104" s="1656"/>
      <c r="J104" s="1690"/>
      <c r="K104" s="1695"/>
      <c r="L104" s="1777" t="s">
        <v>308</v>
      </c>
      <c r="M104" s="277"/>
      <c r="N104" s="270"/>
      <c r="O104" s="1542"/>
      <c r="P104" s="1542"/>
      <c r="AH104" s="1549">
        <v>0</v>
      </c>
    </row>
    <row r="105" spans="1:34" s="2513" customFormat="1" ht="18.75" hidden="1" customHeight="1">
      <c r="A105" s="1697"/>
      <c r="B105" s="1697"/>
      <c r="C105" s="304" t="s">
        <v>1147</v>
      </c>
      <c r="D105" s="2921"/>
      <c r="E105" s="2719"/>
      <c r="F105" s="2863"/>
      <c r="G105" s="2895"/>
      <c r="H105" s="1418"/>
      <c r="I105" s="586" t="s">
        <v>1146</v>
      </c>
      <c r="J105" s="506"/>
      <c r="K105" s="1418"/>
      <c r="L105" s="150"/>
      <c r="M105" s="277"/>
      <c r="N105" s="270"/>
      <c r="O105" s="1542"/>
      <c r="P105" s="1542"/>
      <c r="AH105" s="1549">
        <v>0</v>
      </c>
    </row>
    <row r="106" spans="1:34" s="2513" customFormat="1" ht="0.75" hidden="1" customHeight="1">
      <c r="A106" s="1697"/>
      <c r="B106" s="1697"/>
      <c r="C106" s="304" t="s">
        <v>1155</v>
      </c>
      <c r="D106" s="2921"/>
      <c r="E106" s="2719"/>
      <c r="F106" s="2863"/>
      <c r="G106" s="335"/>
      <c r="H106" s="1418"/>
      <c r="I106" s="586"/>
      <c r="J106" s="506"/>
      <c r="K106" s="1418"/>
      <c r="L106" s="150"/>
      <c r="M106" s="277"/>
      <c r="N106" s="270"/>
      <c r="O106" s="1542"/>
      <c r="P106" s="1542"/>
      <c r="AH106" s="1549">
        <v>0</v>
      </c>
    </row>
    <row r="107" spans="1:34" s="2513" customFormat="1" ht="18.75" hidden="1" customHeight="1">
      <c r="A107" s="1697" t="s">
        <v>183</v>
      </c>
      <c r="B107" s="1697" t="s">
        <v>184</v>
      </c>
      <c r="C107" s="304"/>
      <c r="D107" s="2921"/>
      <c r="E107" s="2719"/>
      <c r="F107" s="2863" t="str">
        <f>INDEX(PT_DIFFERENTIATION_VTAR,MATCH(A107,PT_DIFFERENTIATION_VTAR_ID,0))</f>
        <v>Тарифы на услуги по передаче тепловой энергии</v>
      </c>
      <c r="G107" s="2895" t="str">
        <f>INDEX(PT_DIFFERENTIATION_NTAR,MATCH(B107,PT_DIFFERENTIATION_NTAR_ID,0))</f>
        <v/>
      </c>
      <c r="H107" s="1777"/>
      <c r="I107" s="1656"/>
      <c r="J107" s="1690"/>
      <c r="K107" s="1695"/>
      <c r="L107" s="1777" t="s">
        <v>308</v>
      </c>
      <c r="M107" s="277"/>
      <c r="N107" s="270"/>
      <c r="O107" s="1542"/>
      <c r="P107" s="1542"/>
      <c r="AH107" s="1549">
        <v>0</v>
      </c>
    </row>
    <row r="108" spans="1:34" s="2513" customFormat="1" ht="18.75" hidden="1" customHeight="1">
      <c r="A108" s="1697"/>
      <c r="B108" s="1697"/>
      <c r="C108" s="304" t="s">
        <v>1147</v>
      </c>
      <c r="D108" s="2921"/>
      <c r="E108" s="2719"/>
      <c r="F108" s="2863"/>
      <c r="G108" s="2895"/>
      <c r="H108" s="1418"/>
      <c r="I108" s="586" t="s">
        <v>1146</v>
      </c>
      <c r="J108" s="506"/>
      <c r="K108" s="1418"/>
      <c r="L108" s="150"/>
      <c r="M108" s="277"/>
      <c r="N108" s="270"/>
      <c r="O108" s="1542"/>
      <c r="P108" s="1542"/>
      <c r="AH108" s="1549">
        <v>0</v>
      </c>
    </row>
    <row r="109" spans="1:34" s="2513" customFormat="1" ht="0.75" hidden="1" customHeight="1">
      <c r="A109" s="1697"/>
      <c r="B109" s="1697"/>
      <c r="C109" s="304" t="s">
        <v>1155</v>
      </c>
      <c r="D109" s="2921"/>
      <c r="E109" s="2719"/>
      <c r="F109" s="2863"/>
      <c r="G109" s="335"/>
      <c r="H109" s="1418"/>
      <c r="I109" s="586"/>
      <c r="J109" s="506"/>
      <c r="K109" s="1418"/>
      <c r="L109" s="150"/>
      <c r="M109" s="277"/>
      <c r="N109" s="270"/>
      <c r="O109" s="1542"/>
      <c r="P109" s="1542"/>
      <c r="AH109" s="1549">
        <v>0</v>
      </c>
    </row>
    <row r="110" spans="1:34" s="2513" customFormat="1" ht="18.75" hidden="1" customHeight="1">
      <c r="A110" s="1697" t="s">
        <v>189</v>
      </c>
      <c r="B110" s="1697" t="s">
        <v>190</v>
      </c>
      <c r="C110" s="304"/>
      <c r="D110" s="2921"/>
      <c r="E110" s="2719"/>
      <c r="F110" s="2863" t="str">
        <f>INDEX(PT_DIFFERENTIATION_VTAR,MATCH(A110,PT_DIFFERENTIATION_VTAR_ID,0))</f>
        <v>Тарифы на услуги по передаче теплоносителя</v>
      </c>
      <c r="G110" s="2895" t="str">
        <f>INDEX(PT_DIFFERENTIATION_NTAR,MATCH(B110,PT_DIFFERENTIATION_NTAR_ID,0))</f>
        <v/>
      </c>
      <c r="H110" s="1777"/>
      <c r="I110" s="1656"/>
      <c r="J110" s="1690"/>
      <c r="K110" s="1695"/>
      <c r="L110" s="1777" t="s">
        <v>308</v>
      </c>
      <c r="M110" s="277"/>
      <c r="N110" s="270"/>
      <c r="O110" s="1542"/>
      <c r="P110" s="1542"/>
      <c r="AH110" s="1549">
        <v>0</v>
      </c>
    </row>
    <row r="111" spans="1:34" s="2513" customFormat="1" ht="18.75" hidden="1" customHeight="1">
      <c r="A111" s="1697"/>
      <c r="B111" s="1697"/>
      <c r="C111" s="304" t="s">
        <v>1147</v>
      </c>
      <c r="D111" s="2921"/>
      <c r="E111" s="2719"/>
      <c r="F111" s="2863"/>
      <c r="G111" s="2895"/>
      <c r="H111" s="1418"/>
      <c r="I111" s="586" t="s">
        <v>1146</v>
      </c>
      <c r="J111" s="506"/>
      <c r="K111" s="1418"/>
      <c r="L111" s="150"/>
      <c r="M111" s="277"/>
      <c r="N111" s="270"/>
      <c r="O111" s="1542"/>
      <c r="P111" s="1542"/>
      <c r="AH111" s="1549">
        <v>0</v>
      </c>
    </row>
    <row r="112" spans="1:34" s="2513" customFormat="1" ht="0.75" hidden="1" customHeight="1">
      <c r="A112" s="1697"/>
      <c r="B112" s="1697"/>
      <c r="C112" s="304" t="s">
        <v>1155</v>
      </c>
      <c r="D112" s="2921"/>
      <c r="E112" s="2719"/>
      <c r="F112" s="2863"/>
      <c r="G112" s="335"/>
      <c r="H112" s="1418"/>
      <c r="I112" s="586"/>
      <c r="J112" s="506"/>
      <c r="K112" s="1418"/>
      <c r="L112" s="150"/>
      <c r="M112" s="277"/>
      <c r="N112" s="270"/>
      <c r="O112" s="1542"/>
      <c r="P112" s="1542"/>
      <c r="AH112" s="1549">
        <v>0</v>
      </c>
    </row>
    <row r="113" spans="1:34" s="2513" customFormat="1" ht="18.75" hidden="1" customHeight="1">
      <c r="A113" s="1697" t="s">
        <v>195</v>
      </c>
      <c r="B113" s="1697" t="s">
        <v>196</v>
      </c>
      <c r="C113" s="304"/>
      <c r="D113" s="2921"/>
      <c r="E113" s="2719"/>
      <c r="F113" s="2863" t="str">
        <f>INDEX(PT_DIFFERENTIATION_VTAR,MATCH(A113,PT_DIFFERENTIATION_VTAR_ID,0))</f>
        <v>Плата за услуги по поддержанию резервной тепловой мощности при отсутствии потребления тепловой энергии</v>
      </c>
      <c r="G113" s="2895" t="str">
        <f>INDEX(PT_DIFFERENTIATION_NTAR,MATCH(B113,PT_DIFFERENTIATION_NTAR_ID,0))</f>
        <v/>
      </c>
      <c r="H113" s="1777"/>
      <c r="I113" s="1656"/>
      <c r="J113" s="1690"/>
      <c r="K113" s="1695"/>
      <c r="L113" s="1777" t="s">
        <v>308</v>
      </c>
      <c r="M113" s="277"/>
      <c r="N113" s="270"/>
      <c r="O113" s="1542"/>
      <c r="P113" s="1542"/>
      <c r="AH113" s="1549">
        <v>0</v>
      </c>
    </row>
    <row r="114" spans="1:34" s="2513" customFormat="1" ht="18.75" hidden="1" customHeight="1">
      <c r="A114" s="1697"/>
      <c r="B114" s="1697"/>
      <c r="C114" s="304" t="s">
        <v>1147</v>
      </c>
      <c r="D114" s="2921"/>
      <c r="E114" s="2719"/>
      <c r="F114" s="2863"/>
      <c r="G114" s="2895"/>
      <c r="H114" s="1418"/>
      <c r="I114" s="586" t="s">
        <v>1146</v>
      </c>
      <c r="J114" s="506"/>
      <c r="K114" s="1418"/>
      <c r="L114" s="150"/>
      <c r="M114" s="277"/>
      <c r="N114" s="270"/>
      <c r="O114" s="1542"/>
      <c r="P114" s="1542"/>
      <c r="AH114" s="1549">
        <v>0</v>
      </c>
    </row>
    <row r="115" spans="1:34" s="2513" customFormat="1" ht="0.75" hidden="1" customHeight="1">
      <c r="A115" s="1697"/>
      <c r="B115" s="1697"/>
      <c r="C115" s="304" t="s">
        <v>1155</v>
      </c>
      <c r="D115" s="2921"/>
      <c r="E115" s="2719"/>
      <c r="F115" s="2863"/>
      <c r="G115" s="335"/>
      <c r="H115" s="1418"/>
      <c r="I115" s="586"/>
      <c r="J115" s="506"/>
      <c r="K115" s="1418"/>
      <c r="L115" s="150"/>
      <c r="M115" s="277"/>
      <c r="N115" s="270"/>
      <c r="O115" s="1542"/>
      <c r="P115" s="1542"/>
      <c r="AH115" s="1549">
        <v>0</v>
      </c>
    </row>
    <row r="116" spans="1:34" s="2513" customFormat="1" ht="18.75" hidden="1" customHeight="1">
      <c r="A116" s="1697" t="s">
        <v>201</v>
      </c>
      <c r="B116" s="1697" t="s">
        <v>202</v>
      </c>
      <c r="C116" s="304"/>
      <c r="D116" s="2921"/>
      <c r="E116" s="2719"/>
      <c r="F116" s="2863" t="str">
        <f>INDEX(PT_DIFFERENTIATION_VTAR,MATCH(A116,PT_DIFFERENTIATION_VTAR_ID,0))</f>
        <v>Плата за подключение (технологическое присоединение) к системе теплоснабжения</v>
      </c>
      <c r="G116" s="2895" t="str">
        <f>INDEX(PT_DIFFERENTIATION_NTAR,MATCH(B116,PT_DIFFERENTIATION_NTAR_ID,0))</f>
        <v/>
      </c>
      <c r="H116" s="1777"/>
      <c r="I116" s="1656"/>
      <c r="J116" s="1690"/>
      <c r="K116" s="1695"/>
      <c r="L116" s="1777" t="s">
        <v>308</v>
      </c>
      <c r="M116" s="277"/>
      <c r="N116" s="270"/>
      <c r="O116" s="1542"/>
      <c r="P116" s="1542"/>
      <c r="AH116" s="1549">
        <v>0</v>
      </c>
    </row>
    <row r="117" spans="1:34" s="2513" customFormat="1" ht="18.75" hidden="1" customHeight="1">
      <c r="A117" s="1697"/>
      <c r="B117" s="1697"/>
      <c r="C117" s="304" t="s">
        <v>1147</v>
      </c>
      <c r="D117" s="2921"/>
      <c r="E117" s="2719"/>
      <c r="F117" s="2863"/>
      <c r="G117" s="2895"/>
      <c r="H117" s="1418"/>
      <c r="I117" s="586" t="s">
        <v>1146</v>
      </c>
      <c r="J117" s="506"/>
      <c r="K117" s="1418"/>
      <c r="L117" s="150"/>
      <c r="M117" s="277"/>
      <c r="N117" s="270"/>
      <c r="O117" s="1542"/>
      <c r="P117" s="1542"/>
      <c r="AH117" s="1549">
        <v>0</v>
      </c>
    </row>
    <row r="118" spans="1:34" s="2513" customFormat="1" ht="0.75" hidden="1" customHeight="1">
      <c r="A118" s="1697"/>
      <c r="B118" s="1697"/>
      <c r="C118" s="304" t="s">
        <v>1155</v>
      </c>
      <c r="D118" s="2921"/>
      <c r="E118" s="2719"/>
      <c r="F118" s="2863"/>
      <c r="G118" s="335"/>
      <c r="H118" s="1418"/>
      <c r="I118" s="586"/>
      <c r="J118" s="506"/>
      <c r="K118" s="1418"/>
      <c r="L118" s="150"/>
      <c r="M118" s="277"/>
      <c r="N118" s="270"/>
      <c r="O118" s="1542"/>
      <c r="P118" s="1542"/>
      <c r="AH118" s="1549">
        <v>0</v>
      </c>
    </row>
    <row r="119" spans="1:34" s="2513" customFormat="1" ht="18.75" hidden="1" customHeight="1">
      <c r="A119" s="1697" t="s">
        <v>207</v>
      </c>
      <c r="B119" s="1697" t="s">
        <v>208</v>
      </c>
      <c r="C119" s="304"/>
      <c r="D119" s="2921"/>
      <c r="E119" s="2719"/>
      <c r="F119" s="2863" t="str">
        <f>INDEX(PT_DIFFERENTIATION_VTAR,MATCH(A119,PT_DIFFERENTIATION_VTAR_ID,0))</f>
        <v>Плата за подключение (технологическое присоединение) к системе теплоснабжения (индивидуальная)</v>
      </c>
      <c r="G119" s="2895" t="str">
        <f>INDEX(PT_DIFFERENTIATION_NTAR,MATCH(B119,PT_DIFFERENTIATION_NTAR_ID,0))</f>
        <v/>
      </c>
      <c r="H119" s="1901"/>
      <c r="I119" s="1656"/>
      <c r="J119" s="1690"/>
      <c r="K119" s="1695"/>
      <c r="L119" s="1901" t="s">
        <v>308</v>
      </c>
      <c r="M119" s="277"/>
      <c r="N119" s="270"/>
      <c r="O119" s="1542"/>
      <c r="P119" s="1542"/>
      <c r="AH119" s="1549">
        <v>0</v>
      </c>
    </row>
    <row r="120" spans="1:34" s="2513" customFormat="1" ht="18.75" hidden="1" customHeight="1">
      <c r="A120" s="1697"/>
      <c r="B120" s="1697"/>
      <c r="C120" s="304" t="s">
        <v>1147</v>
      </c>
      <c r="D120" s="2921"/>
      <c r="E120" s="2719"/>
      <c r="F120" s="2863"/>
      <c r="G120" s="2895"/>
      <c r="H120" s="1418"/>
      <c r="I120" s="586" t="s">
        <v>1146</v>
      </c>
      <c r="J120" s="506"/>
      <c r="K120" s="1418"/>
      <c r="L120" s="150"/>
      <c r="M120" s="277"/>
      <c r="N120" s="270"/>
      <c r="O120" s="1542"/>
      <c r="P120" s="1542"/>
      <c r="AH120" s="1549">
        <v>0</v>
      </c>
    </row>
    <row r="121" spans="1:34" s="2513" customFormat="1" ht="0.75" hidden="1" customHeight="1">
      <c r="A121" s="1697"/>
      <c r="B121" s="1697"/>
      <c r="C121" s="304" t="s">
        <v>1155</v>
      </c>
      <c r="D121" s="2921"/>
      <c r="E121" s="2719"/>
      <c r="F121" s="2863"/>
      <c r="G121" s="335"/>
      <c r="H121" s="1418"/>
      <c r="I121" s="586"/>
      <c r="J121" s="506"/>
      <c r="K121" s="1418"/>
      <c r="L121" s="150"/>
      <c r="M121" s="277"/>
      <c r="N121" s="270"/>
      <c r="O121" s="1542"/>
      <c r="P121" s="1542"/>
      <c r="AH121" s="1549">
        <v>0</v>
      </c>
    </row>
    <row r="122" spans="1:34" s="2513" customFormat="1" ht="18.75" hidden="1" customHeight="1">
      <c r="A122" s="1697" t="s">
        <v>227</v>
      </c>
      <c r="B122" s="1697" t="s">
        <v>228</v>
      </c>
      <c r="C122" s="304"/>
      <c r="D122" s="2921"/>
      <c r="E122" s="2719"/>
      <c r="F122" s="2863" t="str">
        <f>INDEX(PT_DIFFERENTIATION_VTAR,MATCH(A122,PT_DIFFERENTIATION_VTAR_ID,0))</f>
        <v>Тариф на питьевую воду (питьевое водоснабжение)</v>
      </c>
      <c r="G122" s="2895" t="str">
        <f>INDEX(PT_DIFFERENTIATION_NTAR,MATCH(B122,PT_DIFFERENTIATION_NTAR_ID,0))</f>
        <v/>
      </c>
      <c r="H122" s="1777"/>
      <c r="I122" s="1656"/>
      <c r="J122" s="1690"/>
      <c r="K122" s="1695"/>
      <c r="L122" s="1777" t="s">
        <v>308</v>
      </c>
      <c r="M122" s="277"/>
      <c r="N122" s="270"/>
      <c r="O122" s="1542"/>
      <c r="P122" s="1542"/>
      <c r="AH122" s="1549">
        <v>0</v>
      </c>
    </row>
    <row r="123" spans="1:34" s="2513" customFormat="1" ht="18.75" hidden="1" customHeight="1">
      <c r="A123" s="1697"/>
      <c r="B123" s="1697"/>
      <c r="C123" s="304" t="s">
        <v>1147</v>
      </c>
      <c r="D123" s="2921"/>
      <c r="E123" s="2719"/>
      <c r="F123" s="2863"/>
      <c r="G123" s="2895"/>
      <c r="H123" s="1418"/>
      <c r="I123" s="586" t="s">
        <v>1146</v>
      </c>
      <c r="J123" s="506"/>
      <c r="K123" s="1418"/>
      <c r="L123" s="150"/>
      <c r="M123" s="277"/>
      <c r="N123" s="270"/>
      <c r="O123" s="1542"/>
      <c r="P123" s="1542"/>
      <c r="AH123" s="1549">
        <v>0</v>
      </c>
    </row>
    <row r="124" spans="1:34" s="2513" customFormat="1" ht="0.75" hidden="1" customHeight="1">
      <c r="A124" s="1697"/>
      <c r="B124" s="1697"/>
      <c r="C124" s="304" t="s">
        <v>1155</v>
      </c>
      <c r="D124" s="2921"/>
      <c r="E124" s="2719"/>
      <c r="F124" s="2863"/>
      <c r="G124" s="335"/>
      <c r="H124" s="1418"/>
      <c r="I124" s="586"/>
      <c r="J124" s="506"/>
      <c r="K124" s="1418"/>
      <c r="L124" s="150"/>
      <c r="M124" s="277"/>
      <c r="N124" s="270"/>
      <c r="O124" s="1542"/>
      <c r="P124" s="1542"/>
      <c r="AH124" s="1549">
        <v>0</v>
      </c>
    </row>
    <row r="125" spans="1:34" s="2513" customFormat="1" ht="18.75" hidden="1" customHeight="1">
      <c r="A125" s="1697" t="s">
        <v>232</v>
      </c>
      <c r="B125" s="1697" t="s">
        <v>233</v>
      </c>
      <c r="C125" s="304"/>
      <c r="D125" s="2921"/>
      <c r="E125" s="2719"/>
      <c r="F125" s="2863" t="str">
        <f>INDEX(PT_DIFFERENTIATION_VTAR,MATCH(A125,PT_DIFFERENTIATION_VTAR_ID,0))</f>
        <v>Тариф на техническую воду</v>
      </c>
      <c r="G125" s="2895" t="str">
        <f>INDEX(PT_DIFFERENTIATION_NTAR,MATCH(B125,PT_DIFFERENTIATION_NTAR_ID,0))</f>
        <v/>
      </c>
      <c r="H125" s="1777"/>
      <c r="I125" s="1656"/>
      <c r="J125" s="1690"/>
      <c r="K125" s="1695"/>
      <c r="L125" s="1777" t="s">
        <v>308</v>
      </c>
      <c r="M125" s="277"/>
      <c r="N125" s="270"/>
      <c r="O125" s="1542"/>
      <c r="P125" s="1542"/>
      <c r="AH125" s="1549">
        <v>0</v>
      </c>
    </row>
    <row r="126" spans="1:34" s="2513" customFormat="1" ht="18.75" hidden="1" customHeight="1">
      <c r="A126" s="1697"/>
      <c r="B126" s="1697"/>
      <c r="C126" s="304" t="s">
        <v>1147</v>
      </c>
      <c r="D126" s="2921"/>
      <c r="E126" s="2719"/>
      <c r="F126" s="2863"/>
      <c r="G126" s="2895"/>
      <c r="H126" s="1418"/>
      <c r="I126" s="586" t="s">
        <v>1146</v>
      </c>
      <c r="J126" s="506"/>
      <c r="K126" s="1418"/>
      <c r="L126" s="150"/>
      <c r="M126" s="277"/>
      <c r="N126" s="270"/>
      <c r="O126" s="1542"/>
      <c r="P126" s="1542"/>
      <c r="AH126" s="1549">
        <v>0</v>
      </c>
    </row>
    <row r="127" spans="1:34" s="2513" customFormat="1" ht="0.75" hidden="1" customHeight="1">
      <c r="A127" s="1697"/>
      <c r="B127" s="1697"/>
      <c r="C127" s="304" t="s">
        <v>1155</v>
      </c>
      <c r="D127" s="2921"/>
      <c r="E127" s="2719"/>
      <c r="F127" s="2863"/>
      <c r="G127" s="335"/>
      <c r="H127" s="1418"/>
      <c r="I127" s="586"/>
      <c r="J127" s="506"/>
      <c r="K127" s="1418"/>
      <c r="L127" s="150"/>
      <c r="M127" s="277"/>
      <c r="N127" s="270"/>
      <c r="O127" s="1542"/>
      <c r="P127" s="1542"/>
      <c r="AH127" s="1549">
        <v>0</v>
      </c>
    </row>
    <row r="128" spans="1:34" s="2513" customFormat="1" ht="18.75" hidden="1" customHeight="1">
      <c r="A128" s="1697" t="s">
        <v>237</v>
      </c>
      <c r="B128" s="1697" t="s">
        <v>238</v>
      </c>
      <c r="C128" s="304"/>
      <c r="D128" s="2921"/>
      <c r="E128" s="2719"/>
      <c r="F128" s="2863" t="str">
        <f>INDEX(PT_DIFFERENTIATION_VTAR,MATCH(A128,PT_DIFFERENTIATION_VTAR_ID,0))</f>
        <v>Тариф на транспортировку воды</v>
      </c>
      <c r="G128" s="2895" t="str">
        <f>INDEX(PT_DIFFERENTIATION_NTAR,MATCH(B128,PT_DIFFERENTIATION_NTAR_ID,0))</f>
        <v/>
      </c>
      <c r="H128" s="1777"/>
      <c r="I128" s="1656"/>
      <c r="J128" s="1690"/>
      <c r="K128" s="1695"/>
      <c r="L128" s="1777" t="s">
        <v>308</v>
      </c>
      <c r="M128" s="277"/>
      <c r="N128" s="270"/>
      <c r="O128" s="1542"/>
      <c r="P128" s="1542"/>
      <c r="AH128" s="1549">
        <v>0</v>
      </c>
    </row>
    <row r="129" spans="1:34" s="2513" customFormat="1" ht="18.75" hidden="1" customHeight="1">
      <c r="A129" s="1697"/>
      <c r="B129" s="1697"/>
      <c r="C129" s="304" t="s">
        <v>1147</v>
      </c>
      <c r="D129" s="2921"/>
      <c r="E129" s="2719"/>
      <c r="F129" s="2863"/>
      <c r="G129" s="2895"/>
      <c r="H129" s="1418"/>
      <c r="I129" s="586" t="s">
        <v>1146</v>
      </c>
      <c r="J129" s="506"/>
      <c r="K129" s="1418"/>
      <c r="L129" s="150"/>
      <c r="M129" s="277"/>
      <c r="N129" s="270"/>
      <c r="O129" s="1542"/>
      <c r="P129" s="1542"/>
      <c r="AH129" s="1549">
        <v>0</v>
      </c>
    </row>
    <row r="130" spans="1:34" s="2513" customFormat="1" ht="0.75" hidden="1" customHeight="1">
      <c r="A130" s="1697"/>
      <c r="B130" s="1697"/>
      <c r="C130" s="304" t="s">
        <v>1155</v>
      </c>
      <c r="D130" s="2921"/>
      <c r="E130" s="2719"/>
      <c r="F130" s="2863"/>
      <c r="G130" s="335"/>
      <c r="H130" s="1418"/>
      <c r="I130" s="586"/>
      <c r="J130" s="506"/>
      <c r="K130" s="1418"/>
      <c r="L130" s="150"/>
      <c r="M130" s="277"/>
      <c r="N130" s="270"/>
      <c r="O130" s="1542"/>
      <c r="P130" s="1542"/>
      <c r="AH130" s="1549">
        <v>0</v>
      </c>
    </row>
    <row r="131" spans="1:34" s="2513" customFormat="1" ht="18.75" hidden="1" customHeight="1">
      <c r="A131" s="1697" t="s">
        <v>242</v>
      </c>
      <c r="B131" s="1697" t="s">
        <v>243</v>
      </c>
      <c r="C131" s="304"/>
      <c r="D131" s="2921"/>
      <c r="E131" s="2719"/>
      <c r="F131" s="2863" t="str">
        <f>INDEX(PT_DIFFERENTIATION_VTAR,MATCH(A131,PT_DIFFERENTIATION_VTAR_ID,0))</f>
        <v>Тариф на подвоз воды</v>
      </c>
      <c r="G131" s="2895" t="str">
        <f>INDEX(PT_DIFFERENTIATION_NTAR,MATCH(B131,PT_DIFFERENTIATION_NTAR_ID,0))</f>
        <v/>
      </c>
      <c r="H131" s="1777"/>
      <c r="I131" s="1656"/>
      <c r="J131" s="1690"/>
      <c r="K131" s="1695"/>
      <c r="L131" s="1777" t="s">
        <v>308</v>
      </c>
      <c r="M131" s="277"/>
      <c r="N131" s="270"/>
      <c r="O131" s="1542"/>
      <c r="P131" s="1542"/>
      <c r="AH131" s="1549">
        <v>0</v>
      </c>
    </row>
    <row r="132" spans="1:34" s="2513" customFormat="1" ht="18.75" hidden="1" customHeight="1">
      <c r="A132" s="1697"/>
      <c r="B132" s="1697"/>
      <c r="C132" s="304" t="s">
        <v>1147</v>
      </c>
      <c r="D132" s="2921"/>
      <c r="E132" s="2719"/>
      <c r="F132" s="2863"/>
      <c r="G132" s="2895"/>
      <c r="H132" s="1418"/>
      <c r="I132" s="586" t="s">
        <v>1146</v>
      </c>
      <c r="J132" s="506"/>
      <c r="K132" s="1418"/>
      <c r="L132" s="150"/>
      <c r="M132" s="277"/>
      <c r="N132" s="270"/>
      <c r="O132" s="1542"/>
      <c r="P132" s="1542"/>
      <c r="AH132" s="1549">
        <v>0</v>
      </c>
    </row>
    <row r="133" spans="1:34" s="2513" customFormat="1" ht="0.75" hidden="1" customHeight="1">
      <c r="A133" s="1697"/>
      <c r="B133" s="1697"/>
      <c r="C133" s="304" t="s">
        <v>1155</v>
      </c>
      <c r="D133" s="2921"/>
      <c r="E133" s="2719"/>
      <c r="F133" s="2863"/>
      <c r="G133" s="335"/>
      <c r="H133" s="1418"/>
      <c r="I133" s="586"/>
      <c r="J133" s="506"/>
      <c r="K133" s="1418"/>
      <c r="L133" s="150"/>
      <c r="M133" s="277"/>
      <c r="N133" s="270"/>
      <c r="O133" s="1542"/>
      <c r="P133" s="1542"/>
      <c r="AH133" s="1549">
        <v>0</v>
      </c>
    </row>
    <row r="134" spans="1:34" s="2513" customFormat="1" ht="18.75" hidden="1" customHeight="1">
      <c r="A134" s="1697" t="s">
        <v>247</v>
      </c>
      <c r="B134" s="1697" t="s">
        <v>248</v>
      </c>
      <c r="C134" s="304"/>
      <c r="D134" s="2921"/>
      <c r="E134" s="2719"/>
      <c r="F134" s="2863" t="str">
        <f>INDEX(PT_DIFFERENTIATION_VTAR,MATCH(A134,PT_DIFFERENTIATION_VTAR_ID,0))</f>
        <v>Тариф на подключение (технологическое присоединение) к централизованной системе холодного водоснабжения</v>
      </c>
      <c r="G134" s="2895" t="str">
        <f>INDEX(PT_DIFFERENTIATION_NTAR,MATCH(B134,PT_DIFFERENTIATION_NTAR_ID,0))</f>
        <v/>
      </c>
      <c r="H134" s="1777"/>
      <c r="I134" s="1656"/>
      <c r="J134" s="1690"/>
      <c r="K134" s="1695"/>
      <c r="L134" s="1777" t="s">
        <v>308</v>
      </c>
      <c r="M134" s="277"/>
      <c r="N134" s="270"/>
      <c r="O134" s="1542"/>
      <c r="P134" s="1542"/>
      <c r="AH134" s="1549">
        <v>0</v>
      </c>
    </row>
    <row r="135" spans="1:34" s="2513" customFormat="1" ht="18.75" hidden="1" customHeight="1">
      <c r="A135" s="1697"/>
      <c r="B135" s="1697"/>
      <c r="C135" s="304" t="s">
        <v>1147</v>
      </c>
      <c r="D135" s="2921"/>
      <c r="E135" s="2719"/>
      <c r="F135" s="2863"/>
      <c r="G135" s="2895"/>
      <c r="H135" s="1418"/>
      <c r="I135" s="586" t="s">
        <v>1146</v>
      </c>
      <c r="J135" s="506"/>
      <c r="K135" s="1418"/>
      <c r="L135" s="150"/>
      <c r="M135" s="277"/>
      <c r="N135" s="270"/>
      <c r="O135" s="1542"/>
      <c r="P135" s="1542"/>
      <c r="AH135" s="1549">
        <v>0</v>
      </c>
    </row>
    <row r="136" spans="1:34" s="2513" customFormat="1" ht="0.75" hidden="1" customHeight="1">
      <c r="A136" s="1697"/>
      <c r="B136" s="1697"/>
      <c r="C136" s="304" t="s">
        <v>1155</v>
      </c>
      <c r="D136" s="2921"/>
      <c r="E136" s="2719"/>
      <c r="F136" s="2863"/>
      <c r="G136" s="335"/>
      <c r="H136" s="1418"/>
      <c r="I136" s="586"/>
      <c r="J136" s="506"/>
      <c r="K136" s="1418"/>
      <c r="L136" s="150"/>
      <c r="M136" s="277"/>
      <c r="N136" s="270"/>
      <c r="O136" s="1542"/>
      <c r="P136" s="1542"/>
      <c r="AH136" s="1549">
        <v>0</v>
      </c>
    </row>
    <row r="137" spans="1:34" s="2513" customFormat="1" ht="18.75" hidden="1" customHeight="1">
      <c r="A137" s="1697" t="s">
        <v>252</v>
      </c>
      <c r="B137" s="1697" t="s">
        <v>253</v>
      </c>
      <c r="C137" s="304"/>
      <c r="D137" s="2921"/>
      <c r="E137" s="2719"/>
      <c r="F137" s="2863" t="str">
        <f>INDEX(PT_DIFFERENTIATION_VTAR,MATCH(A137,PT_DIFFERENTIATION_VTAR_ID,0))</f>
        <v>Тариф на горячую воду (горячее водоснабжение)</v>
      </c>
      <c r="G137" s="2895" t="str">
        <f>INDEX(PT_DIFFERENTIATION_NTAR,MATCH(B137,PT_DIFFERENTIATION_NTAR_ID,0))</f>
        <v/>
      </c>
      <c r="H137" s="1777"/>
      <c r="I137" s="1656"/>
      <c r="J137" s="1690"/>
      <c r="K137" s="1695"/>
      <c r="L137" s="1777" t="s">
        <v>308</v>
      </c>
      <c r="M137" s="277"/>
      <c r="N137" s="270"/>
      <c r="O137" s="1542"/>
      <c r="P137" s="1542"/>
      <c r="AH137" s="1549">
        <v>0</v>
      </c>
    </row>
    <row r="138" spans="1:34" s="2513" customFormat="1" ht="18.75" hidden="1" customHeight="1">
      <c r="A138" s="1697"/>
      <c r="B138" s="1697"/>
      <c r="C138" s="304" t="s">
        <v>1147</v>
      </c>
      <c r="D138" s="2921"/>
      <c r="E138" s="2719"/>
      <c r="F138" s="2863"/>
      <c r="G138" s="2895"/>
      <c r="H138" s="1418"/>
      <c r="I138" s="586" t="s">
        <v>1146</v>
      </c>
      <c r="J138" s="506"/>
      <c r="K138" s="1418"/>
      <c r="L138" s="150"/>
      <c r="M138" s="277"/>
      <c r="N138" s="270"/>
      <c r="O138" s="1542"/>
      <c r="P138" s="1542"/>
      <c r="AH138" s="1549">
        <v>0</v>
      </c>
    </row>
    <row r="139" spans="1:34" s="2513" customFormat="1" ht="0.75" hidden="1" customHeight="1">
      <c r="A139" s="1697"/>
      <c r="B139" s="1697"/>
      <c r="C139" s="304" t="s">
        <v>1155</v>
      </c>
      <c r="D139" s="2921"/>
      <c r="E139" s="2719"/>
      <c r="F139" s="2863"/>
      <c r="G139" s="335"/>
      <c r="H139" s="1418"/>
      <c r="I139" s="586"/>
      <c r="J139" s="506"/>
      <c r="K139" s="1418"/>
      <c r="L139" s="150"/>
      <c r="M139" s="277"/>
      <c r="N139" s="270"/>
      <c r="O139" s="1542"/>
      <c r="P139" s="1542"/>
      <c r="AH139" s="1549">
        <v>0</v>
      </c>
    </row>
    <row r="140" spans="1:34" s="2513" customFormat="1" ht="18.75" hidden="1" customHeight="1">
      <c r="A140" s="1697" t="s">
        <v>257</v>
      </c>
      <c r="B140" s="1697" t="s">
        <v>258</v>
      </c>
      <c r="C140" s="304"/>
      <c r="D140" s="2921"/>
      <c r="E140" s="2719"/>
      <c r="F140" s="2863" t="str">
        <f>INDEX(PT_DIFFERENTIATION_VTAR,MATCH(A140,PT_DIFFERENTIATION_VTAR_ID,0))</f>
        <v>Тариф на транспортировку горячей воды</v>
      </c>
      <c r="G140" s="2895" t="str">
        <f>INDEX(PT_DIFFERENTIATION_NTAR,MATCH(B140,PT_DIFFERENTIATION_NTAR_ID,0))</f>
        <v/>
      </c>
      <c r="H140" s="1777"/>
      <c r="I140" s="1656"/>
      <c r="J140" s="1690"/>
      <c r="K140" s="1695"/>
      <c r="L140" s="1777" t="s">
        <v>308</v>
      </c>
      <c r="M140" s="277"/>
      <c r="N140" s="270"/>
      <c r="O140" s="1542"/>
      <c r="P140" s="1542"/>
      <c r="AH140" s="1549">
        <v>0</v>
      </c>
    </row>
    <row r="141" spans="1:34" s="2513" customFormat="1" ht="18.75" hidden="1" customHeight="1">
      <c r="A141" s="1697"/>
      <c r="B141" s="1697"/>
      <c r="C141" s="304" t="s">
        <v>1147</v>
      </c>
      <c r="D141" s="2921"/>
      <c r="E141" s="2719"/>
      <c r="F141" s="2863"/>
      <c r="G141" s="2895"/>
      <c r="H141" s="1418"/>
      <c r="I141" s="586" t="s">
        <v>1146</v>
      </c>
      <c r="J141" s="506"/>
      <c r="K141" s="1418"/>
      <c r="L141" s="150"/>
      <c r="M141" s="277"/>
      <c r="N141" s="270"/>
      <c r="O141" s="1542"/>
      <c r="P141" s="1542"/>
      <c r="AH141" s="1549">
        <v>0</v>
      </c>
    </row>
    <row r="142" spans="1:34" s="2513" customFormat="1" ht="0.75" hidden="1" customHeight="1">
      <c r="A142" s="1697"/>
      <c r="B142" s="1697"/>
      <c r="C142" s="304" t="s">
        <v>1155</v>
      </c>
      <c r="D142" s="2921"/>
      <c r="E142" s="2719"/>
      <c r="F142" s="2863"/>
      <c r="G142" s="335"/>
      <c r="H142" s="1418"/>
      <c r="I142" s="586"/>
      <c r="J142" s="506"/>
      <c r="K142" s="1418"/>
      <c r="L142" s="150"/>
      <c r="M142" s="277"/>
      <c r="N142" s="270"/>
      <c r="O142" s="1542"/>
      <c r="P142" s="1542"/>
      <c r="AH142" s="1549">
        <v>0</v>
      </c>
    </row>
    <row r="143" spans="1:34" s="2513" customFormat="1" ht="18.75" hidden="1" customHeight="1">
      <c r="A143" s="1697" t="s">
        <v>262</v>
      </c>
      <c r="B143" s="1697" t="s">
        <v>263</v>
      </c>
      <c r="C143" s="304"/>
      <c r="D143" s="2921"/>
      <c r="E143" s="2719"/>
      <c r="F143" s="2863" t="str">
        <f>INDEX(PT_DIFFERENTIATION_VTAR,MATCH(A143,PT_DIFFERENTIATION_VTAR_ID,0))</f>
        <v>Тариф на подключение (технологическое присоединение) к централизованной системе горячего водоснабжения</v>
      </c>
      <c r="G143" s="2895" t="str">
        <f>INDEX(PT_DIFFERENTIATION_NTAR,MATCH(B143,PT_DIFFERENTIATION_NTAR_ID,0))</f>
        <v/>
      </c>
      <c r="H143" s="1777"/>
      <c r="I143" s="1656"/>
      <c r="J143" s="1690"/>
      <c r="K143" s="1695"/>
      <c r="L143" s="1777" t="s">
        <v>308</v>
      </c>
      <c r="M143" s="277"/>
      <c r="N143" s="270"/>
      <c r="O143" s="1542"/>
      <c r="P143" s="1542"/>
      <c r="AH143" s="1549">
        <v>0</v>
      </c>
    </row>
    <row r="144" spans="1:34" s="2513" customFormat="1" ht="18.75" hidden="1" customHeight="1">
      <c r="A144" s="1697"/>
      <c r="B144" s="1697"/>
      <c r="C144" s="304" t="s">
        <v>1147</v>
      </c>
      <c r="D144" s="2921"/>
      <c r="E144" s="2719"/>
      <c r="F144" s="2863"/>
      <c r="G144" s="2895"/>
      <c r="H144" s="1418"/>
      <c r="I144" s="586" t="s">
        <v>1146</v>
      </c>
      <c r="J144" s="506"/>
      <c r="K144" s="1418"/>
      <c r="L144" s="150"/>
      <c r="M144" s="277"/>
      <c r="N144" s="270"/>
      <c r="O144" s="1542"/>
      <c r="P144" s="1542"/>
      <c r="AH144" s="1549">
        <v>0</v>
      </c>
    </row>
    <row r="145" spans="1:34" s="2513" customFormat="1" ht="0.75" hidden="1" customHeight="1">
      <c r="A145" s="1697"/>
      <c r="B145" s="1697"/>
      <c r="C145" s="304" t="s">
        <v>1155</v>
      </c>
      <c r="D145" s="2921"/>
      <c r="E145" s="2719"/>
      <c r="F145" s="2863"/>
      <c r="G145" s="335"/>
      <c r="H145" s="1418"/>
      <c r="I145" s="586"/>
      <c r="J145" s="506"/>
      <c r="K145" s="1418"/>
      <c r="L145" s="150"/>
      <c r="M145" s="277"/>
      <c r="N145" s="270"/>
      <c r="O145" s="1542"/>
      <c r="P145" s="1542"/>
      <c r="AH145" s="1549">
        <v>0</v>
      </c>
    </row>
    <row r="146" spans="1:34" s="2513" customFormat="1" ht="18.75" hidden="1" customHeight="1">
      <c r="A146" s="1697" t="s">
        <v>267</v>
      </c>
      <c r="B146" s="1697" t="s">
        <v>268</v>
      </c>
      <c r="C146" s="304"/>
      <c r="D146" s="2921"/>
      <c r="E146" s="2719"/>
      <c r="F146" s="2863" t="str">
        <f>INDEX(PT_DIFFERENTIATION_VTAR,MATCH(A146,PT_DIFFERENTIATION_VTAR_ID,0))</f>
        <v>Тариф на водоотведение</v>
      </c>
      <c r="G146" s="2895" t="str">
        <f>INDEX(PT_DIFFERENTIATION_NTAR,MATCH(B146,PT_DIFFERENTIATION_NTAR_ID,0))</f>
        <v/>
      </c>
      <c r="H146" s="1777"/>
      <c r="I146" s="1656"/>
      <c r="J146" s="1690"/>
      <c r="K146" s="1695"/>
      <c r="L146" s="1777" t="s">
        <v>308</v>
      </c>
      <c r="M146" s="277"/>
      <c r="N146" s="270"/>
      <c r="O146" s="1542"/>
      <c r="P146" s="1542"/>
      <c r="AH146" s="1549">
        <v>0</v>
      </c>
    </row>
    <row r="147" spans="1:34" s="2513" customFormat="1" ht="18.75" hidden="1" customHeight="1">
      <c r="A147" s="1697"/>
      <c r="B147" s="1697"/>
      <c r="C147" s="304" t="s">
        <v>1147</v>
      </c>
      <c r="D147" s="2921"/>
      <c r="E147" s="2719"/>
      <c r="F147" s="2863"/>
      <c r="G147" s="2895"/>
      <c r="H147" s="1418"/>
      <c r="I147" s="586" t="s">
        <v>1146</v>
      </c>
      <c r="J147" s="506"/>
      <c r="K147" s="1418"/>
      <c r="L147" s="150"/>
      <c r="M147" s="277"/>
      <c r="N147" s="270"/>
      <c r="O147" s="1542"/>
      <c r="P147" s="1542"/>
      <c r="AH147" s="1549">
        <v>0</v>
      </c>
    </row>
    <row r="148" spans="1:34" s="2513" customFormat="1" ht="0.75" hidden="1" customHeight="1">
      <c r="A148" s="1697"/>
      <c r="B148" s="1697"/>
      <c r="C148" s="304" t="s">
        <v>1155</v>
      </c>
      <c r="D148" s="2921"/>
      <c r="E148" s="2719"/>
      <c r="F148" s="2863"/>
      <c r="G148" s="335"/>
      <c r="H148" s="1418"/>
      <c r="I148" s="586"/>
      <c r="J148" s="506"/>
      <c r="K148" s="1418"/>
      <c r="L148" s="150"/>
      <c r="M148" s="277"/>
      <c r="N148" s="270"/>
      <c r="O148" s="1542"/>
      <c r="P148" s="1542"/>
      <c r="AH148" s="1549">
        <v>0</v>
      </c>
    </row>
    <row r="149" spans="1:34" s="2513" customFormat="1" ht="18.75" hidden="1" customHeight="1">
      <c r="A149" s="1697" t="s">
        <v>272</v>
      </c>
      <c r="B149" s="1697" t="s">
        <v>273</v>
      </c>
      <c r="C149" s="304"/>
      <c r="D149" s="2921"/>
      <c r="E149" s="2719"/>
      <c r="F149" s="2863" t="str">
        <f>INDEX(PT_DIFFERENTIATION_VTAR,MATCH(A149,PT_DIFFERENTIATION_VTAR_ID,0))</f>
        <v>Тариф на транспортировку сточных вод</v>
      </c>
      <c r="G149" s="2895" t="str">
        <f>INDEX(PT_DIFFERENTIATION_NTAR,MATCH(B149,PT_DIFFERENTIATION_NTAR_ID,0))</f>
        <v/>
      </c>
      <c r="H149" s="1777"/>
      <c r="I149" s="1656"/>
      <c r="J149" s="1690"/>
      <c r="K149" s="1695"/>
      <c r="L149" s="1777" t="s">
        <v>308</v>
      </c>
      <c r="M149" s="277"/>
      <c r="N149" s="270"/>
      <c r="O149" s="1542"/>
      <c r="P149" s="1542"/>
      <c r="AH149" s="1549">
        <v>0</v>
      </c>
    </row>
    <row r="150" spans="1:34" s="2513" customFormat="1" ht="18.75" hidden="1" customHeight="1">
      <c r="A150" s="1697"/>
      <c r="B150" s="1697"/>
      <c r="C150" s="304" t="s">
        <v>1147</v>
      </c>
      <c r="D150" s="2921"/>
      <c r="E150" s="2719"/>
      <c r="F150" s="2863"/>
      <c r="G150" s="2895"/>
      <c r="H150" s="1418"/>
      <c r="I150" s="586" t="s">
        <v>1146</v>
      </c>
      <c r="J150" s="506"/>
      <c r="K150" s="1418"/>
      <c r="L150" s="150"/>
      <c r="M150" s="277"/>
      <c r="N150" s="270"/>
      <c r="O150" s="1542"/>
      <c r="P150" s="1542"/>
      <c r="AH150" s="1549">
        <v>0</v>
      </c>
    </row>
    <row r="151" spans="1:34" s="2513" customFormat="1" ht="0.75" hidden="1" customHeight="1">
      <c r="A151" s="1697"/>
      <c r="B151" s="1697"/>
      <c r="C151" s="304" t="s">
        <v>1155</v>
      </c>
      <c r="D151" s="2921"/>
      <c r="E151" s="2719"/>
      <c r="F151" s="2863"/>
      <c r="G151" s="335"/>
      <c r="H151" s="1418"/>
      <c r="I151" s="586"/>
      <c r="J151" s="506"/>
      <c r="K151" s="1418"/>
      <c r="L151" s="150"/>
      <c r="M151" s="277"/>
      <c r="N151" s="270"/>
      <c r="O151" s="1542"/>
      <c r="P151" s="1542"/>
      <c r="AH151" s="1549">
        <v>0</v>
      </c>
    </row>
    <row r="152" spans="1:34" s="2513" customFormat="1" ht="18.75" hidden="1" customHeight="1">
      <c r="A152" s="1697" t="s">
        <v>277</v>
      </c>
      <c r="B152" s="1697" t="s">
        <v>278</v>
      </c>
      <c r="C152" s="304"/>
      <c r="D152" s="2921"/>
      <c r="E152" s="2719"/>
      <c r="F152" s="2863" t="str">
        <f>INDEX(PT_DIFFERENTIATION_VTAR,MATCH(A152,PT_DIFFERENTIATION_VTAR_ID,0))</f>
        <v>Тариф на подключение (технологическое присоединение) к централизованной системе водоотведения</v>
      </c>
      <c r="G152" s="2895" t="str">
        <f>INDEX(PT_DIFFERENTIATION_NTAR,MATCH(B152,PT_DIFFERENTIATION_NTAR_ID,0))</f>
        <v/>
      </c>
      <c r="H152" s="1777"/>
      <c r="I152" s="1656"/>
      <c r="J152" s="1690"/>
      <c r="K152" s="1695"/>
      <c r="L152" s="1777" t="s">
        <v>308</v>
      </c>
      <c r="M152" s="277"/>
      <c r="N152" s="270"/>
      <c r="O152" s="1542"/>
      <c r="P152" s="1542"/>
      <c r="AH152" s="1549">
        <v>0</v>
      </c>
    </row>
    <row r="153" spans="1:34" s="2513" customFormat="1" ht="18.75" hidden="1" customHeight="1">
      <c r="A153" s="1697"/>
      <c r="B153" s="1697"/>
      <c r="C153" s="304" t="s">
        <v>1147</v>
      </c>
      <c r="D153" s="2921"/>
      <c r="E153" s="2719"/>
      <c r="F153" s="2863"/>
      <c r="G153" s="2895"/>
      <c r="H153" s="1418"/>
      <c r="I153" s="586" t="s">
        <v>1146</v>
      </c>
      <c r="J153" s="506"/>
      <c r="K153" s="1418"/>
      <c r="L153" s="150"/>
      <c r="M153" s="277"/>
      <c r="N153" s="270"/>
      <c r="O153" s="1542"/>
      <c r="P153" s="1542"/>
      <c r="AH153" s="1549">
        <v>0</v>
      </c>
    </row>
    <row r="154" spans="1:34" s="2513" customFormat="1" ht="1.1499999999999999" customHeight="1">
      <c r="A154" s="1697"/>
      <c r="B154" s="1697"/>
      <c r="C154" s="304" t="s">
        <v>1155</v>
      </c>
      <c r="D154" s="2921"/>
      <c r="E154" s="2719"/>
      <c r="F154" s="2863"/>
      <c r="G154" s="335"/>
      <c r="H154" s="1418"/>
      <c r="I154" s="586"/>
      <c r="J154" s="506"/>
      <c r="K154" s="1418"/>
      <c r="L154" s="150"/>
      <c r="M154" s="277"/>
      <c r="N154" s="270"/>
      <c r="O154" s="1542"/>
      <c r="P154" s="1542"/>
      <c r="AH154" s="1549">
        <v>1</v>
      </c>
    </row>
    <row r="155" spans="1:34" ht="19.899999999999999" customHeight="1">
      <c r="A155" s="1697"/>
      <c r="B155" s="1697"/>
      <c r="D155" s="311"/>
      <c r="E155" s="84" t="s">
        <v>90</v>
      </c>
      <c r="F155" s="291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5" s="2919"/>
      <c r="H155" s="2919"/>
      <c r="I155" s="2919"/>
      <c r="J155" s="2919"/>
      <c r="K155" s="2919"/>
      <c r="L155" s="2919"/>
      <c r="M155" s="233"/>
      <c r="N155" s="270"/>
      <c r="AH155" s="309">
        <v>19</v>
      </c>
    </row>
    <row r="156" spans="1:34" s="2513" customFormat="1" ht="60.75" customHeight="1">
      <c r="A156" s="1697" t="s">
        <v>155</v>
      </c>
      <c r="B156" s="1697" t="s">
        <v>156</v>
      </c>
      <c r="C156" s="304"/>
      <c r="D156" s="2921"/>
      <c r="E156" s="2719"/>
      <c r="F156" s="2863" t="str">
        <f>INDEX(PT_DIFFERENTIATION_VTAR,MATCH(A156,PT_DIFFERENTIATION_VTAR_ID,0))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6" s="2895" t="str">
        <f>INDEX(PT_DIFFERENTIATION_NTAR,MATCH(B156,PT_DIFFERENTIATION_NTAR_ID,0))</f>
        <v>Долгосрочный тариф на тепловую энергию для потребителей ООО "Ноябрьская ПГЭ" на 2025 - 2029 годы</v>
      </c>
      <c r="H156" s="1777"/>
      <c r="I156" s="2499">
        <v>45658</v>
      </c>
      <c r="J156" s="1690">
        <v>46022</v>
      </c>
      <c r="K156" s="2580">
        <v>399.67</v>
      </c>
      <c r="L156" s="1777" t="s">
        <v>308</v>
      </c>
      <c r="M156" s="26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6" s="270"/>
      <c r="O156" s="1542"/>
      <c r="P156" s="1542"/>
      <c r="AH156" s="1549">
        <v>0</v>
      </c>
    </row>
    <row r="157" spans="1:34" s="2567" customFormat="1" ht="56.25" customHeight="1">
      <c r="A157" s="2501"/>
      <c r="B157" s="2501"/>
      <c r="C157" s="2502"/>
      <c r="D157" s="2922"/>
      <c r="E157" s="2920"/>
      <c r="F157" s="2920"/>
      <c r="G157" s="2920"/>
      <c r="H157" s="2280" t="s">
        <v>427</v>
      </c>
      <c r="I157" s="2499">
        <v>46023</v>
      </c>
      <c r="J157" s="2500">
        <v>46387</v>
      </c>
      <c r="K157" s="2580">
        <v>399.67</v>
      </c>
      <c r="L157" s="2281" t="s">
        <v>308</v>
      </c>
      <c r="M157" s="2808"/>
      <c r="N157" s="2504"/>
      <c r="O157" s="2505"/>
      <c r="P157" s="2505"/>
      <c r="Q157" s="2050"/>
      <c r="R157" s="2050"/>
      <c r="S157" s="2050"/>
      <c r="T157" s="2050"/>
      <c r="U157" s="2050"/>
      <c r="V157" s="2050"/>
      <c r="W157" s="2050"/>
      <c r="X157" s="2050"/>
      <c r="Y157" s="2050"/>
      <c r="Z157" s="2050"/>
      <c r="AA157" s="2050"/>
      <c r="AB157" s="2050"/>
      <c r="AC157" s="2050"/>
      <c r="AD157" s="2050"/>
      <c r="AE157" s="2050"/>
      <c r="AF157" s="2050"/>
      <c r="AG157" s="2050"/>
      <c r="AH157" s="2050">
        <v>0</v>
      </c>
    </row>
    <row r="158" spans="1:34" s="2567" customFormat="1" ht="56.25" customHeight="1">
      <c r="A158" s="2501"/>
      <c r="B158" s="2501"/>
      <c r="C158" s="2502"/>
      <c r="D158" s="2922"/>
      <c r="E158" s="2920"/>
      <c r="F158" s="2920"/>
      <c r="G158" s="2920"/>
      <c r="H158" s="2280" t="s">
        <v>427</v>
      </c>
      <c r="I158" s="2499">
        <v>46388</v>
      </c>
      <c r="J158" s="2500">
        <v>46752</v>
      </c>
      <c r="K158" s="2580">
        <v>399.67</v>
      </c>
      <c r="L158" s="2281" t="s">
        <v>308</v>
      </c>
      <c r="M158" s="2808"/>
      <c r="N158" s="2504"/>
      <c r="O158" s="2505"/>
      <c r="P158" s="2505"/>
      <c r="Q158" s="2050"/>
      <c r="R158" s="2050"/>
      <c r="S158" s="2050"/>
      <c r="T158" s="2050"/>
      <c r="U158" s="2050"/>
      <c r="V158" s="2050"/>
      <c r="W158" s="2050"/>
      <c r="X158" s="2050"/>
      <c r="Y158" s="2050"/>
      <c r="Z158" s="2050"/>
      <c r="AA158" s="2050"/>
      <c r="AB158" s="2050"/>
      <c r="AC158" s="2050"/>
      <c r="AD158" s="2050"/>
      <c r="AE158" s="2050"/>
      <c r="AF158" s="2050"/>
      <c r="AG158" s="2050"/>
      <c r="AH158" s="2050">
        <v>0</v>
      </c>
    </row>
    <row r="159" spans="1:34" s="2567" customFormat="1" ht="56.25" customHeight="1">
      <c r="A159" s="2501"/>
      <c r="B159" s="2501"/>
      <c r="C159" s="2502"/>
      <c r="D159" s="2922"/>
      <c r="E159" s="2920"/>
      <c r="F159" s="2920"/>
      <c r="G159" s="2920"/>
      <c r="H159" s="2280" t="s">
        <v>427</v>
      </c>
      <c r="I159" s="2499">
        <v>46753</v>
      </c>
      <c r="J159" s="2500">
        <v>47118</v>
      </c>
      <c r="K159" s="2580">
        <v>399.67</v>
      </c>
      <c r="L159" s="2281" t="s">
        <v>308</v>
      </c>
      <c r="M159" s="2808"/>
      <c r="N159" s="2504"/>
      <c r="O159" s="2505"/>
      <c r="P159" s="2505"/>
      <c r="Q159" s="2050"/>
      <c r="R159" s="2050"/>
      <c r="S159" s="2050"/>
      <c r="T159" s="2050"/>
      <c r="U159" s="2050"/>
      <c r="V159" s="2050"/>
      <c r="W159" s="2050"/>
      <c r="X159" s="2050"/>
      <c r="Y159" s="2050"/>
      <c r="Z159" s="2050"/>
      <c r="AA159" s="2050"/>
      <c r="AB159" s="2050"/>
      <c r="AC159" s="2050"/>
      <c r="AD159" s="2050"/>
      <c r="AE159" s="2050"/>
      <c r="AF159" s="2050"/>
      <c r="AG159" s="2050"/>
      <c r="AH159" s="2050">
        <v>0</v>
      </c>
    </row>
    <row r="160" spans="1:34" s="2567" customFormat="1" ht="56.25" customHeight="1">
      <c r="A160" s="2501"/>
      <c r="B160" s="2501"/>
      <c r="C160" s="2502"/>
      <c r="D160" s="2922"/>
      <c r="E160" s="2920"/>
      <c r="F160" s="2920"/>
      <c r="G160" s="2920"/>
      <c r="H160" s="2280" t="s">
        <v>427</v>
      </c>
      <c r="I160" s="2499">
        <v>47119</v>
      </c>
      <c r="J160" s="2500">
        <v>47483</v>
      </c>
      <c r="K160" s="2580">
        <v>399.67</v>
      </c>
      <c r="L160" s="2281" t="s">
        <v>308</v>
      </c>
      <c r="M160" s="2808"/>
      <c r="N160" s="2504"/>
      <c r="O160" s="2505"/>
      <c r="P160" s="2505"/>
      <c r="Q160" s="2050"/>
      <c r="R160" s="2050"/>
      <c r="S160" s="2050"/>
      <c r="T160" s="2050"/>
      <c r="U160" s="2050"/>
      <c r="V160" s="2050"/>
      <c r="W160" s="2050"/>
      <c r="X160" s="2050"/>
      <c r="Y160" s="2050"/>
      <c r="Z160" s="2050"/>
      <c r="AA160" s="2050"/>
      <c r="AB160" s="2050"/>
      <c r="AC160" s="2050"/>
      <c r="AD160" s="2050"/>
      <c r="AE160" s="2050"/>
      <c r="AF160" s="2050"/>
      <c r="AG160" s="2050"/>
      <c r="AH160" s="2050">
        <v>0</v>
      </c>
    </row>
    <row r="161" spans="1:34" s="2513" customFormat="1" ht="18.75" customHeight="1">
      <c r="A161" s="1697"/>
      <c r="B161" s="1697"/>
      <c r="C161" s="304" t="s">
        <v>1147</v>
      </c>
      <c r="D161" s="2921"/>
      <c r="E161" s="2719"/>
      <c r="F161" s="2863"/>
      <c r="G161" s="2895"/>
      <c r="H161" s="1418"/>
      <c r="I161" s="586" t="s">
        <v>1146</v>
      </c>
      <c r="J161" s="506"/>
      <c r="K161" s="1418"/>
      <c r="L161" s="150"/>
      <c r="M161" s="2693"/>
      <c r="N161" s="270"/>
      <c r="O161" s="1542"/>
      <c r="P161" s="1542"/>
      <c r="AH161" s="1549">
        <v>0</v>
      </c>
    </row>
    <row r="162" spans="1:34" s="2513" customFormat="1" ht="0.75" customHeight="1">
      <c r="A162" s="1697"/>
      <c r="B162" s="1697"/>
      <c r="C162" s="304" t="s">
        <v>1155</v>
      </c>
      <c r="D162" s="2921"/>
      <c r="E162" s="2719"/>
      <c r="F162" s="2863"/>
      <c r="G162" s="335"/>
      <c r="H162" s="1418"/>
      <c r="I162" s="586"/>
      <c r="J162" s="506"/>
      <c r="K162" s="1418"/>
      <c r="L162" s="150"/>
      <c r="M162" s="2693"/>
      <c r="N162" s="270"/>
      <c r="O162" s="1542"/>
      <c r="P162" s="1542"/>
      <c r="AH162" s="1549">
        <v>0</v>
      </c>
    </row>
    <row r="163" spans="1:34" s="2513" customFormat="1" ht="45" hidden="1" customHeight="1">
      <c r="A163" s="1697" t="s">
        <v>165</v>
      </c>
      <c r="B163" s="1697" t="s">
        <v>166</v>
      </c>
      <c r="C163" s="304"/>
      <c r="D163" s="2921"/>
      <c r="E163" s="2719"/>
      <c r="F163" s="2863" t="str">
        <f>INDEX(PT_DIFFERENTIATION_VTAR,MATCH(A163,PT_DIFFERENTIATION_VTAR_ID,0))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63" s="2895" t="str">
        <f>INDEX(PT_DIFFERENTIATION_NTAR,MATCH(B163,PT_DIFFERENTIATION_NTAR_ID,0))</f>
        <v/>
      </c>
      <c r="H163" s="1777"/>
      <c r="I163" s="1656"/>
      <c r="J163" s="1690"/>
      <c r="K163" s="1695"/>
      <c r="L163" s="1777" t="s">
        <v>308</v>
      </c>
      <c r="M163" s="2694"/>
      <c r="N163" s="270"/>
      <c r="O163" s="1542"/>
      <c r="P163" s="1542"/>
      <c r="AH163" s="1549">
        <v>0</v>
      </c>
    </row>
    <row r="164" spans="1:34" s="2513" customFormat="1" ht="18.75" hidden="1" customHeight="1">
      <c r="A164" s="1697"/>
      <c r="B164" s="1697"/>
      <c r="C164" s="304" t="s">
        <v>1147</v>
      </c>
      <c r="D164" s="2921"/>
      <c r="E164" s="2719"/>
      <c r="F164" s="2863"/>
      <c r="G164" s="2895"/>
      <c r="H164" s="1418"/>
      <c r="I164" s="586" t="s">
        <v>1146</v>
      </c>
      <c r="J164" s="506"/>
      <c r="K164" s="1418"/>
      <c r="L164" s="150"/>
      <c r="M164" s="1776"/>
      <c r="N164" s="270"/>
      <c r="O164" s="1542"/>
      <c r="P164" s="1542"/>
      <c r="AH164" s="1549">
        <v>0</v>
      </c>
    </row>
    <row r="165" spans="1:34" s="2513" customFormat="1" ht="0.75" hidden="1" customHeight="1">
      <c r="A165" s="1697"/>
      <c r="B165" s="1697"/>
      <c r="C165" s="304" t="s">
        <v>1155</v>
      </c>
      <c r="D165" s="2921"/>
      <c r="E165" s="2719"/>
      <c r="F165" s="2863"/>
      <c r="G165" s="335"/>
      <c r="H165" s="1418"/>
      <c r="I165" s="586"/>
      <c r="J165" s="506"/>
      <c r="K165" s="1418"/>
      <c r="L165" s="150"/>
      <c r="M165" s="277"/>
      <c r="N165" s="270"/>
      <c r="O165" s="1542"/>
      <c r="P165" s="1542"/>
      <c r="AH165" s="1549">
        <v>0</v>
      </c>
    </row>
    <row r="166" spans="1:34" s="2513" customFormat="1" ht="45" hidden="1" customHeight="1">
      <c r="A166" s="1697" t="s">
        <v>171</v>
      </c>
      <c r="B166" s="1697" t="s">
        <v>172</v>
      </c>
      <c r="C166" s="304"/>
      <c r="D166" s="2921"/>
      <c r="E166" s="2719"/>
      <c r="F166" s="2863" t="str">
        <f>INDEX(PT_DIFFERENTIATION_VTAR,MATCH(A166,PT_DIFFERENTIATION_VTAR_ID,0))</f>
        <v>Тарифы на теплоноситель, поставляемый теплоснабжающими организациями потребителям, другим теплоснабжающим организациям</v>
      </c>
      <c r="G166" s="2895" t="str">
        <f>INDEX(PT_DIFFERENTIATION_NTAR,MATCH(B166,PT_DIFFERENTIATION_NTAR_ID,0))</f>
        <v/>
      </c>
      <c r="H166" s="1777"/>
      <c r="I166" s="1656"/>
      <c r="J166" s="1690"/>
      <c r="K166" s="1695"/>
      <c r="L166" s="1777" t="s">
        <v>308</v>
      </c>
      <c r="M166" s="277"/>
      <c r="N166" s="270"/>
      <c r="O166" s="1542"/>
      <c r="P166" s="1542"/>
      <c r="AH166" s="1549">
        <v>0</v>
      </c>
    </row>
    <row r="167" spans="1:34" s="2513" customFormat="1" ht="18.75" hidden="1" customHeight="1">
      <c r="A167" s="1697"/>
      <c r="B167" s="1697"/>
      <c r="C167" s="304" t="s">
        <v>1147</v>
      </c>
      <c r="D167" s="2921"/>
      <c r="E167" s="2719"/>
      <c r="F167" s="2863"/>
      <c r="G167" s="2895"/>
      <c r="H167" s="1418"/>
      <c r="I167" s="586" t="s">
        <v>1146</v>
      </c>
      <c r="J167" s="506"/>
      <c r="K167" s="1418"/>
      <c r="L167" s="150"/>
      <c r="M167" s="277"/>
      <c r="N167" s="270"/>
      <c r="O167" s="1542"/>
      <c r="P167" s="1542"/>
      <c r="AH167" s="1549">
        <v>0</v>
      </c>
    </row>
    <row r="168" spans="1:34" s="2513" customFormat="1" ht="0.75" hidden="1" customHeight="1">
      <c r="A168" s="1697"/>
      <c r="B168" s="1697"/>
      <c r="C168" s="304" t="s">
        <v>1155</v>
      </c>
      <c r="D168" s="2921"/>
      <c r="E168" s="2719"/>
      <c r="F168" s="2863"/>
      <c r="G168" s="335"/>
      <c r="H168" s="1418"/>
      <c r="I168" s="586"/>
      <c r="J168" s="506"/>
      <c r="K168" s="1418"/>
      <c r="L168" s="150"/>
      <c r="M168" s="277"/>
      <c r="N168" s="270"/>
      <c r="O168" s="1542"/>
      <c r="P168" s="1542"/>
      <c r="AH168" s="1549">
        <v>0</v>
      </c>
    </row>
    <row r="169" spans="1:34" s="2513" customFormat="1" ht="45" hidden="1" customHeight="1">
      <c r="A169" s="1697" t="s">
        <v>177</v>
      </c>
      <c r="B169" s="1697" t="s">
        <v>178</v>
      </c>
      <c r="C169" s="304"/>
      <c r="D169" s="2921"/>
      <c r="E169" s="2719"/>
      <c r="F169" s="2863" t="str">
        <f>INDEX(PT_DIFFERENTIATION_VTAR,MATCH(A169,PT_DIFFERENTIATION_VTAR_ID,0))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9" s="2895" t="str">
        <f>INDEX(PT_DIFFERENTIATION_NTAR,MATCH(B169,PT_DIFFERENTIATION_NTAR_ID,0))</f>
        <v/>
      </c>
      <c r="H169" s="1777"/>
      <c r="I169" s="1656"/>
      <c r="J169" s="1690"/>
      <c r="K169" s="1695"/>
      <c r="L169" s="1777" t="s">
        <v>308</v>
      </c>
      <c r="M169" s="277"/>
      <c r="N169" s="270"/>
      <c r="O169" s="1542"/>
      <c r="P169" s="1542"/>
      <c r="AH169" s="1549">
        <v>0</v>
      </c>
    </row>
    <row r="170" spans="1:34" s="2513" customFormat="1" ht="18.75" hidden="1" customHeight="1">
      <c r="A170" s="1697"/>
      <c r="B170" s="1697"/>
      <c r="C170" s="304" t="s">
        <v>1147</v>
      </c>
      <c r="D170" s="2921"/>
      <c r="E170" s="2719"/>
      <c r="F170" s="2863"/>
      <c r="G170" s="2895"/>
      <c r="H170" s="1418"/>
      <c r="I170" s="586" t="s">
        <v>1146</v>
      </c>
      <c r="J170" s="506"/>
      <c r="K170" s="1418"/>
      <c r="L170" s="150"/>
      <c r="M170" s="277"/>
      <c r="N170" s="270"/>
      <c r="O170" s="1542"/>
      <c r="P170" s="1542"/>
      <c r="AH170" s="1549">
        <v>0</v>
      </c>
    </row>
    <row r="171" spans="1:34" s="2513" customFormat="1" ht="0.75" hidden="1" customHeight="1">
      <c r="A171" s="1697"/>
      <c r="B171" s="1697"/>
      <c r="C171" s="304" t="s">
        <v>1155</v>
      </c>
      <c r="D171" s="2921"/>
      <c r="E171" s="2719"/>
      <c r="F171" s="2863"/>
      <c r="G171" s="335"/>
      <c r="H171" s="1418"/>
      <c r="I171" s="586"/>
      <c r="J171" s="506"/>
      <c r="K171" s="1418"/>
      <c r="L171" s="150"/>
      <c r="M171" s="277"/>
      <c r="N171" s="270"/>
      <c r="O171" s="1542"/>
      <c r="P171" s="1542"/>
      <c r="AH171" s="1549">
        <v>0</v>
      </c>
    </row>
    <row r="172" spans="1:34" s="2513" customFormat="1" ht="18.75" hidden="1" customHeight="1">
      <c r="A172" s="1697" t="s">
        <v>183</v>
      </c>
      <c r="B172" s="1697" t="s">
        <v>184</v>
      </c>
      <c r="C172" s="304"/>
      <c r="D172" s="2921"/>
      <c r="E172" s="2719"/>
      <c r="F172" s="2863" t="str">
        <f>INDEX(PT_DIFFERENTIATION_VTAR,MATCH(A172,PT_DIFFERENTIATION_VTAR_ID,0))</f>
        <v>Тарифы на услуги по передаче тепловой энергии</v>
      </c>
      <c r="G172" s="2895" t="str">
        <f>INDEX(PT_DIFFERENTIATION_NTAR,MATCH(B172,PT_DIFFERENTIATION_NTAR_ID,0))</f>
        <v/>
      </c>
      <c r="H172" s="1777"/>
      <c r="I172" s="1656"/>
      <c r="J172" s="1690"/>
      <c r="K172" s="1695"/>
      <c r="L172" s="1777" t="s">
        <v>308</v>
      </c>
      <c r="M172" s="277"/>
      <c r="N172" s="270"/>
      <c r="O172" s="1542"/>
      <c r="P172" s="1542"/>
      <c r="AH172" s="1549">
        <v>0</v>
      </c>
    </row>
    <row r="173" spans="1:34" s="2513" customFormat="1" ht="18.75" hidden="1" customHeight="1">
      <c r="A173" s="1697"/>
      <c r="B173" s="1697"/>
      <c r="C173" s="304" t="s">
        <v>1147</v>
      </c>
      <c r="D173" s="2921"/>
      <c r="E173" s="2719"/>
      <c r="F173" s="2863"/>
      <c r="G173" s="2895"/>
      <c r="H173" s="1418"/>
      <c r="I173" s="586" t="s">
        <v>1146</v>
      </c>
      <c r="J173" s="506"/>
      <c r="K173" s="1418"/>
      <c r="L173" s="150"/>
      <c r="M173" s="277"/>
      <c r="N173" s="270"/>
      <c r="O173" s="1542"/>
      <c r="P173" s="1542"/>
      <c r="AH173" s="1549">
        <v>0</v>
      </c>
    </row>
    <row r="174" spans="1:34" s="2513" customFormat="1" ht="0.75" hidden="1" customHeight="1">
      <c r="A174" s="1697"/>
      <c r="B174" s="1697"/>
      <c r="C174" s="304" t="s">
        <v>1155</v>
      </c>
      <c r="D174" s="2921"/>
      <c r="E174" s="2719"/>
      <c r="F174" s="2863"/>
      <c r="G174" s="335"/>
      <c r="H174" s="1418"/>
      <c r="I174" s="586"/>
      <c r="J174" s="506"/>
      <c r="K174" s="1418"/>
      <c r="L174" s="150"/>
      <c r="M174" s="277"/>
      <c r="N174" s="270"/>
      <c r="O174" s="1542"/>
      <c r="P174" s="1542"/>
      <c r="AH174" s="1549">
        <v>0</v>
      </c>
    </row>
    <row r="175" spans="1:34" s="2513" customFormat="1" ht="18.75" hidden="1" customHeight="1">
      <c r="A175" s="1697" t="s">
        <v>189</v>
      </c>
      <c r="B175" s="1697" t="s">
        <v>190</v>
      </c>
      <c r="C175" s="304"/>
      <c r="D175" s="2921"/>
      <c r="E175" s="2719"/>
      <c r="F175" s="2863" t="str">
        <f>INDEX(PT_DIFFERENTIATION_VTAR,MATCH(A175,PT_DIFFERENTIATION_VTAR_ID,0))</f>
        <v>Тарифы на услуги по передаче теплоносителя</v>
      </c>
      <c r="G175" s="2895" t="str">
        <f>INDEX(PT_DIFFERENTIATION_NTAR,MATCH(B175,PT_DIFFERENTIATION_NTAR_ID,0))</f>
        <v/>
      </c>
      <c r="H175" s="1777"/>
      <c r="I175" s="1656"/>
      <c r="J175" s="1690"/>
      <c r="K175" s="1695"/>
      <c r="L175" s="1777" t="s">
        <v>308</v>
      </c>
      <c r="M175" s="277"/>
      <c r="N175" s="270"/>
      <c r="O175" s="1542"/>
      <c r="P175" s="1542"/>
      <c r="AH175" s="1549">
        <v>0</v>
      </c>
    </row>
    <row r="176" spans="1:34" s="2513" customFormat="1" ht="18.75" hidden="1" customHeight="1">
      <c r="A176" s="1697"/>
      <c r="B176" s="1697"/>
      <c r="C176" s="304" t="s">
        <v>1147</v>
      </c>
      <c r="D176" s="2921"/>
      <c r="E176" s="2719"/>
      <c r="F176" s="2863"/>
      <c r="G176" s="2895"/>
      <c r="H176" s="1418"/>
      <c r="I176" s="586" t="s">
        <v>1146</v>
      </c>
      <c r="J176" s="506"/>
      <c r="K176" s="1418"/>
      <c r="L176" s="150"/>
      <c r="M176" s="277"/>
      <c r="N176" s="270"/>
      <c r="O176" s="1542"/>
      <c r="P176" s="1542"/>
      <c r="AH176" s="1549">
        <v>0</v>
      </c>
    </row>
    <row r="177" spans="1:34" s="2513" customFormat="1" ht="0.75" hidden="1" customHeight="1">
      <c r="A177" s="1697"/>
      <c r="B177" s="1697"/>
      <c r="C177" s="304" t="s">
        <v>1155</v>
      </c>
      <c r="D177" s="2921"/>
      <c r="E177" s="2719"/>
      <c r="F177" s="2863"/>
      <c r="G177" s="335"/>
      <c r="H177" s="1418"/>
      <c r="I177" s="586"/>
      <c r="J177" s="506"/>
      <c r="K177" s="1418"/>
      <c r="L177" s="150"/>
      <c r="M177" s="277"/>
      <c r="N177" s="270"/>
      <c r="O177" s="1542"/>
      <c r="P177" s="1542"/>
      <c r="AH177" s="1549">
        <v>0</v>
      </c>
    </row>
    <row r="178" spans="1:34" s="2513" customFormat="1" ht="18.75" hidden="1" customHeight="1">
      <c r="A178" s="1697" t="s">
        <v>195</v>
      </c>
      <c r="B178" s="1697" t="s">
        <v>196</v>
      </c>
      <c r="C178" s="304"/>
      <c r="D178" s="2921"/>
      <c r="E178" s="2719"/>
      <c r="F178" s="2863" t="str">
        <f>INDEX(PT_DIFFERENTIATION_VTAR,MATCH(A178,PT_DIFFERENTIATION_VTAR_ID,0))</f>
        <v>Плата за услуги по поддержанию резервной тепловой мощности при отсутствии потребления тепловой энергии</v>
      </c>
      <c r="G178" s="2895" t="str">
        <f>INDEX(PT_DIFFERENTIATION_NTAR,MATCH(B178,PT_DIFFERENTIATION_NTAR_ID,0))</f>
        <v/>
      </c>
      <c r="H178" s="1777"/>
      <c r="I178" s="1656"/>
      <c r="J178" s="1690"/>
      <c r="K178" s="1695"/>
      <c r="L178" s="1777" t="s">
        <v>308</v>
      </c>
      <c r="M178" s="277"/>
      <c r="N178" s="270"/>
      <c r="O178" s="1542"/>
      <c r="P178" s="1542"/>
      <c r="AH178" s="1549">
        <v>0</v>
      </c>
    </row>
    <row r="179" spans="1:34" s="2513" customFormat="1" ht="18.75" hidden="1" customHeight="1">
      <c r="A179" s="1697"/>
      <c r="B179" s="1697"/>
      <c r="C179" s="304" t="s">
        <v>1147</v>
      </c>
      <c r="D179" s="2921"/>
      <c r="E179" s="2719"/>
      <c r="F179" s="2863"/>
      <c r="G179" s="2895"/>
      <c r="H179" s="1418"/>
      <c r="I179" s="586" t="s">
        <v>1146</v>
      </c>
      <c r="J179" s="506"/>
      <c r="K179" s="1418"/>
      <c r="L179" s="150"/>
      <c r="M179" s="277"/>
      <c r="N179" s="270"/>
      <c r="O179" s="1542"/>
      <c r="P179" s="1542"/>
      <c r="AH179" s="1549">
        <v>0</v>
      </c>
    </row>
    <row r="180" spans="1:34" s="2513" customFormat="1" ht="0.75" hidden="1" customHeight="1">
      <c r="A180" s="1697"/>
      <c r="B180" s="1697"/>
      <c r="C180" s="304" t="s">
        <v>1155</v>
      </c>
      <c r="D180" s="2921"/>
      <c r="E180" s="2719"/>
      <c r="F180" s="2863"/>
      <c r="G180" s="335"/>
      <c r="H180" s="1418"/>
      <c r="I180" s="586"/>
      <c r="J180" s="506"/>
      <c r="K180" s="1418"/>
      <c r="L180" s="150"/>
      <c r="M180" s="277"/>
      <c r="N180" s="270"/>
      <c r="O180" s="1542"/>
      <c r="P180" s="1542"/>
      <c r="AH180" s="1549">
        <v>0</v>
      </c>
    </row>
    <row r="181" spans="1:34" s="2513" customFormat="1" ht="18.75" hidden="1" customHeight="1">
      <c r="A181" s="1697" t="s">
        <v>201</v>
      </c>
      <c r="B181" s="1697" t="s">
        <v>202</v>
      </c>
      <c r="C181" s="304"/>
      <c r="D181" s="2921"/>
      <c r="E181" s="2719"/>
      <c r="F181" s="2863" t="str">
        <f>INDEX(PT_DIFFERENTIATION_VTAR,MATCH(A181,PT_DIFFERENTIATION_VTAR_ID,0))</f>
        <v>Плата за подключение (технологическое присоединение) к системе теплоснабжения</v>
      </c>
      <c r="G181" s="2895" t="str">
        <f>INDEX(PT_DIFFERENTIATION_NTAR,MATCH(B181,PT_DIFFERENTIATION_NTAR_ID,0))</f>
        <v/>
      </c>
      <c r="H181" s="1777"/>
      <c r="I181" s="1656"/>
      <c r="J181" s="1690"/>
      <c r="K181" s="1695"/>
      <c r="L181" s="1777" t="s">
        <v>308</v>
      </c>
      <c r="M181" s="277"/>
      <c r="N181" s="270"/>
      <c r="O181" s="1542"/>
      <c r="P181" s="1542"/>
      <c r="AH181" s="1549">
        <v>0</v>
      </c>
    </row>
    <row r="182" spans="1:34" s="2513" customFormat="1" ht="18.75" hidden="1" customHeight="1">
      <c r="A182" s="1697"/>
      <c r="B182" s="1697"/>
      <c r="C182" s="304" t="s">
        <v>1147</v>
      </c>
      <c r="D182" s="2921"/>
      <c r="E182" s="2719"/>
      <c r="F182" s="2863"/>
      <c r="G182" s="2895"/>
      <c r="H182" s="1418"/>
      <c r="I182" s="586" t="s">
        <v>1146</v>
      </c>
      <c r="J182" s="506"/>
      <c r="K182" s="1418"/>
      <c r="L182" s="150"/>
      <c r="M182" s="277"/>
      <c r="N182" s="270"/>
      <c r="O182" s="1542"/>
      <c r="P182" s="1542"/>
      <c r="AH182" s="1549">
        <v>0</v>
      </c>
    </row>
    <row r="183" spans="1:34" s="2513" customFormat="1" ht="0.75" hidden="1" customHeight="1">
      <c r="A183" s="1697"/>
      <c r="B183" s="1697"/>
      <c r="C183" s="304" t="s">
        <v>1155</v>
      </c>
      <c r="D183" s="2921"/>
      <c r="E183" s="2719"/>
      <c r="F183" s="2863"/>
      <c r="G183" s="335"/>
      <c r="H183" s="1418"/>
      <c r="I183" s="586"/>
      <c r="J183" s="506"/>
      <c r="K183" s="1418"/>
      <c r="L183" s="150"/>
      <c r="M183" s="277"/>
      <c r="N183" s="270"/>
      <c r="O183" s="1542"/>
      <c r="P183" s="1542"/>
      <c r="AH183" s="1549">
        <v>0</v>
      </c>
    </row>
    <row r="184" spans="1:34" s="2513" customFormat="1" ht="18.75" hidden="1" customHeight="1">
      <c r="A184" s="1697" t="s">
        <v>207</v>
      </c>
      <c r="B184" s="1697" t="s">
        <v>208</v>
      </c>
      <c r="C184" s="304"/>
      <c r="D184" s="2921"/>
      <c r="E184" s="2719"/>
      <c r="F184" s="2863" t="str">
        <f>INDEX(PT_DIFFERENTIATION_VTAR,MATCH(A184,PT_DIFFERENTIATION_VTAR_ID,0))</f>
        <v>Плата за подключение (технологическое присоединение) к системе теплоснабжения (индивидуальная)</v>
      </c>
      <c r="G184" s="2895" t="str">
        <f>INDEX(PT_DIFFERENTIATION_NTAR,MATCH(B184,PT_DIFFERENTIATION_NTAR_ID,0))</f>
        <v/>
      </c>
      <c r="H184" s="1901"/>
      <c r="I184" s="1656"/>
      <c r="J184" s="1690"/>
      <c r="K184" s="1695"/>
      <c r="L184" s="1901" t="s">
        <v>308</v>
      </c>
      <c r="M184" s="277"/>
      <c r="N184" s="270"/>
      <c r="O184" s="1542"/>
      <c r="P184" s="1542"/>
      <c r="AH184" s="1549">
        <v>0</v>
      </c>
    </row>
    <row r="185" spans="1:34" s="2513" customFormat="1" ht="18.75" hidden="1" customHeight="1">
      <c r="A185" s="1697"/>
      <c r="B185" s="1697"/>
      <c r="C185" s="304" t="s">
        <v>1147</v>
      </c>
      <c r="D185" s="2921"/>
      <c r="E185" s="2719"/>
      <c r="F185" s="2863"/>
      <c r="G185" s="2895"/>
      <c r="H185" s="1418"/>
      <c r="I185" s="586" t="s">
        <v>1146</v>
      </c>
      <c r="J185" s="506"/>
      <c r="K185" s="1418"/>
      <c r="L185" s="150"/>
      <c r="M185" s="277"/>
      <c r="N185" s="270"/>
      <c r="O185" s="1542"/>
      <c r="P185" s="1542"/>
      <c r="AH185" s="1549">
        <v>0</v>
      </c>
    </row>
    <row r="186" spans="1:34" s="2513" customFormat="1" ht="0.75" hidden="1" customHeight="1">
      <c r="A186" s="1697"/>
      <c r="B186" s="1697"/>
      <c r="C186" s="304" t="s">
        <v>1155</v>
      </c>
      <c r="D186" s="2921"/>
      <c r="E186" s="2719"/>
      <c r="F186" s="2863"/>
      <c r="G186" s="335"/>
      <c r="H186" s="1418"/>
      <c r="I186" s="586"/>
      <c r="J186" s="506"/>
      <c r="K186" s="1418"/>
      <c r="L186" s="150"/>
      <c r="M186" s="277"/>
      <c r="N186" s="270"/>
      <c r="O186" s="1542"/>
      <c r="P186" s="1542"/>
      <c r="AH186" s="1549">
        <v>0</v>
      </c>
    </row>
    <row r="187" spans="1:34" s="2513" customFormat="1" ht="18.75" hidden="1" customHeight="1">
      <c r="A187" s="1697" t="s">
        <v>227</v>
      </c>
      <c r="B187" s="1697" t="s">
        <v>228</v>
      </c>
      <c r="C187" s="304"/>
      <c r="D187" s="2921"/>
      <c r="E187" s="2719"/>
      <c r="F187" s="2863" t="str">
        <f>INDEX(PT_DIFFERENTIATION_VTAR,MATCH(A187,PT_DIFFERENTIATION_VTAR_ID,0))</f>
        <v>Тариф на питьевую воду (питьевое водоснабжение)</v>
      </c>
      <c r="G187" s="2895" t="str">
        <f>INDEX(PT_DIFFERENTIATION_NTAR,MATCH(B187,PT_DIFFERENTIATION_NTAR_ID,0))</f>
        <v/>
      </c>
      <c r="H187" s="1777"/>
      <c r="I187" s="1656"/>
      <c r="J187" s="1690"/>
      <c r="K187" s="1695"/>
      <c r="L187" s="1777" t="s">
        <v>308</v>
      </c>
      <c r="M187" s="277"/>
      <c r="N187" s="270"/>
      <c r="O187" s="1542"/>
      <c r="P187" s="1542"/>
      <c r="AH187" s="1549">
        <v>0</v>
      </c>
    </row>
    <row r="188" spans="1:34" s="2513" customFormat="1" ht="18.75" hidden="1" customHeight="1">
      <c r="A188" s="1697"/>
      <c r="B188" s="1697"/>
      <c r="C188" s="304" t="s">
        <v>1147</v>
      </c>
      <c r="D188" s="2921"/>
      <c r="E188" s="2719"/>
      <c r="F188" s="2863"/>
      <c r="G188" s="2895"/>
      <c r="H188" s="1418"/>
      <c r="I188" s="586" t="s">
        <v>1146</v>
      </c>
      <c r="J188" s="506"/>
      <c r="K188" s="1418"/>
      <c r="L188" s="150"/>
      <c r="M188" s="277"/>
      <c r="N188" s="270"/>
      <c r="O188" s="1542"/>
      <c r="P188" s="1542"/>
      <c r="AH188" s="1549">
        <v>0</v>
      </c>
    </row>
    <row r="189" spans="1:34" s="2513" customFormat="1" ht="0.75" hidden="1" customHeight="1">
      <c r="A189" s="1697"/>
      <c r="B189" s="1697"/>
      <c r="C189" s="304" t="s">
        <v>1155</v>
      </c>
      <c r="D189" s="2921"/>
      <c r="E189" s="2719"/>
      <c r="F189" s="2863"/>
      <c r="G189" s="335"/>
      <c r="H189" s="1418"/>
      <c r="I189" s="586"/>
      <c r="J189" s="506"/>
      <c r="K189" s="1418"/>
      <c r="L189" s="150"/>
      <c r="M189" s="277"/>
      <c r="N189" s="270"/>
      <c r="O189" s="1542"/>
      <c r="P189" s="1542"/>
      <c r="AH189" s="1549">
        <v>0</v>
      </c>
    </row>
    <row r="190" spans="1:34" s="2513" customFormat="1" ht="18.75" hidden="1" customHeight="1">
      <c r="A190" s="1697" t="s">
        <v>232</v>
      </c>
      <c r="B190" s="1697" t="s">
        <v>233</v>
      </c>
      <c r="C190" s="304"/>
      <c r="D190" s="2921"/>
      <c r="E190" s="2719"/>
      <c r="F190" s="2863" t="str">
        <f>INDEX(PT_DIFFERENTIATION_VTAR,MATCH(A190,PT_DIFFERENTIATION_VTAR_ID,0))</f>
        <v>Тариф на техническую воду</v>
      </c>
      <c r="G190" s="2895" t="str">
        <f>INDEX(PT_DIFFERENTIATION_NTAR,MATCH(B190,PT_DIFFERENTIATION_NTAR_ID,0))</f>
        <v/>
      </c>
      <c r="H190" s="1777"/>
      <c r="I190" s="1656"/>
      <c r="J190" s="1690"/>
      <c r="K190" s="1695"/>
      <c r="L190" s="1777" t="s">
        <v>308</v>
      </c>
      <c r="M190" s="277"/>
      <c r="N190" s="270"/>
      <c r="O190" s="1542"/>
      <c r="P190" s="1542"/>
      <c r="AH190" s="1549">
        <v>0</v>
      </c>
    </row>
    <row r="191" spans="1:34" s="2513" customFormat="1" ht="18.75" hidden="1" customHeight="1">
      <c r="A191" s="1697"/>
      <c r="B191" s="1697"/>
      <c r="C191" s="304" t="s">
        <v>1147</v>
      </c>
      <c r="D191" s="2921"/>
      <c r="E191" s="2719"/>
      <c r="F191" s="2863"/>
      <c r="G191" s="2895"/>
      <c r="H191" s="1418"/>
      <c r="I191" s="586" t="s">
        <v>1146</v>
      </c>
      <c r="J191" s="506"/>
      <c r="K191" s="1418"/>
      <c r="L191" s="150"/>
      <c r="M191" s="277"/>
      <c r="N191" s="270"/>
      <c r="O191" s="1542"/>
      <c r="P191" s="1542"/>
      <c r="AH191" s="1549">
        <v>0</v>
      </c>
    </row>
    <row r="192" spans="1:34" s="2513" customFormat="1" ht="0.75" hidden="1" customHeight="1">
      <c r="A192" s="1697"/>
      <c r="B192" s="1697"/>
      <c r="C192" s="304" t="s">
        <v>1155</v>
      </c>
      <c r="D192" s="2921"/>
      <c r="E192" s="2719"/>
      <c r="F192" s="2863"/>
      <c r="G192" s="335"/>
      <c r="H192" s="1418"/>
      <c r="I192" s="586"/>
      <c r="J192" s="506"/>
      <c r="K192" s="1418"/>
      <c r="L192" s="150"/>
      <c r="M192" s="277"/>
      <c r="N192" s="270"/>
      <c r="O192" s="1542"/>
      <c r="P192" s="1542"/>
      <c r="AH192" s="1549">
        <v>0</v>
      </c>
    </row>
    <row r="193" spans="1:34" s="2513" customFormat="1" ht="18.75" hidden="1" customHeight="1">
      <c r="A193" s="1697" t="s">
        <v>237</v>
      </c>
      <c r="B193" s="1697" t="s">
        <v>238</v>
      </c>
      <c r="C193" s="304"/>
      <c r="D193" s="2921"/>
      <c r="E193" s="2719"/>
      <c r="F193" s="2863" t="str">
        <f>INDEX(PT_DIFFERENTIATION_VTAR,MATCH(A193,PT_DIFFERENTIATION_VTAR_ID,0))</f>
        <v>Тариф на транспортировку воды</v>
      </c>
      <c r="G193" s="2895" t="str">
        <f>INDEX(PT_DIFFERENTIATION_NTAR,MATCH(B193,PT_DIFFERENTIATION_NTAR_ID,0))</f>
        <v/>
      </c>
      <c r="H193" s="1777"/>
      <c r="I193" s="1656"/>
      <c r="J193" s="1690"/>
      <c r="K193" s="1695"/>
      <c r="L193" s="1777" t="s">
        <v>308</v>
      </c>
      <c r="M193" s="277"/>
      <c r="N193" s="270"/>
      <c r="O193" s="1542"/>
      <c r="P193" s="1542"/>
      <c r="AH193" s="1549">
        <v>0</v>
      </c>
    </row>
    <row r="194" spans="1:34" s="2513" customFormat="1" ht="18.75" hidden="1" customHeight="1">
      <c r="A194" s="1697"/>
      <c r="B194" s="1697"/>
      <c r="C194" s="304" t="s">
        <v>1147</v>
      </c>
      <c r="D194" s="2921"/>
      <c r="E194" s="2719"/>
      <c r="F194" s="2863"/>
      <c r="G194" s="2895"/>
      <c r="H194" s="1418"/>
      <c r="I194" s="586" t="s">
        <v>1146</v>
      </c>
      <c r="J194" s="506"/>
      <c r="K194" s="1418"/>
      <c r="L194" s="150"/>
      <c r="M194" s="277"/>
      <c r="N194" s="270"/>
      <c r="O194" s="1542"/>
      <c r="P194" s="1542"/>
      <c r="AH194" s="1549">
        <v>0</v>
      </c>
    </row>
    <row r="195" spans="1:34" s="2513" customFormat="1" ht="0.75" hidden="1" customHeight="1">
      <c r="A195" s="1697"/>
      <c r="B195" s="1697"/>
      <c r="C195" s="304" t="s">
        <v>1155</v>
      </c>
      <c r="D195" s="2921"/>
      <c r="E195" s="2719"/>
      <c r="F195" s="2863"/>
      <c r="G195" s="335"/>
      <c r="H195" s="1418"/>
      <c r="I195" s="586"/>
      <c r="J195" s="506"/>
      <c r="K195" s="1418"/>
      <c r="L195" s="150"/>
      <c r="M195" s="277"/>
      <c r="N195" s="270"/>
      <c r="O195" s="1542"/>
      <c r="P195" s="1542"/>
      <c r="AH195" s="1549">
        <v>0</v>
      </c>
    </row>
    <row r="196" spans="1:34" s="2513" customFormat="1" ht="18.75" hidden="1" customHeight="1">
      <c r="A196" s="1697" t="s">
        <v>242</v>
      </c>
      <c r="B196" s="1697" t="s">
        <v>243</v>
      </c>
      <c r="C196" s="304"/>
      <c r="D196" s="2921"/>
      <c r="E196" s="2719"/>
      <c r="F196" s="2863" t="str">
        <f>INDEX(PT_DIFFERENTIATION_VTAR,MATCH(A196,PT_DIFFERENTIATION_VTAR_ID,0))</f>
        <v>Тариф на подвоз воды</v>
      </c>
      <c r="G196" s="2895" t="str">
        <f>INDEX(PT_DIFFERENTIATION_NTAR,MATCH(B196,PT_DIFFERENTIATION_NTAR_ID,0))</f>
        <v/>
      </c>
      <c r="H196" s="1777"/>
      <c r="I196" s="1656"/>
      <c r="J196" s="1690"/>
      <c r="K196" s="1695"/>
      <c r="L196" s="1777" t="s">
        <v>308</v>
      </c>
      <c r="M196" s="277"/>
      <c r="N196" s="270"/>
      <c r="O196" s="1542"/>
      <c r="P196" s="1542"/>
      <c r="AH196" s="1549">
        <v>0</v>
      </c>
    </row>
    <row r="197" spans="1:34" s="2513" customFormat="1" ht="18.75" hidden="1" customHeight="1">
      <c r="A197" s="1697"/>
      <c r="B197" s="1697"/>
      <c r="C197" s="304" t="s">
        <v>1147</v>
      </c>
      <c r="D197" s="2921"/>
      <c r="E197" s="2719"/>
      <c r="F197" s="2863"/>
      <c r="G197" s="2895"/>
      <c r="H197" s="1418"/>
      <c r="I197" s="586" t="s">
        <v>1146</v>
      </c>
      <c r="J197" s="506"/>
      <c r="K197" s="1418"/>
      <c r="L197" s="150"/>
      <c r="M197" s="277"/>
      <c r="N197" s="270"/>
      <c r="O197" s="1542"/>
      <c r="P197" s="1542"/>
      <c r="AH197" s="1549">
        <v>0</v>
      </c>
    </row>
    <row r="198" spans="1:34" s="2513" customFormat="1" ht="0.75" hidden="1" customHeight="1">
      <c r="A198" s="1697"/>
      <c r="B198" s="1697"/>
      <c r="C198" s="304" t="s">
        <v>1155</v>
      </c>
      <c r="D198" s="2921"/>
      <c r="E198" s="2719"/>
      <c r="F198" s="2863"/>
      <c r="G198" s="335"/>
      <c r="H198" s="1418"/>
      <c r="I198" s="586"/>
      <c r="J198" s="506"/>
      <c r="K198" s="1418"/>
      <c r="L198" s="150"/>
      <c r="M198" s="277"/>
      <c r="N198" s="270"/>
      <c r="O198" s="1542"/>
      <c r="P198" s="1542"/>
      <c r="AH198" s="1549">
        <v>0</v>
      </c>
    </row>
    <row r="199" spans="1:34" s="2513" customFormat="1" ht="18.75" hidden="1" customHeight="1">
      <c r="A199" s="1697" t="s">
        <v>247</v>
      </c>
      <c r="B199" s="1697" t="s">
        <v>248</v>
      </c>
      <c r="C199" s="304"/>
      <c r="D199" s="2921"/>
      <c r="E199" s="2719"/>
      <c r="F199" s="2863" t="str">
        <f>INDEX(PT_DIFFERENTIATION_VTAR,MATCH(A199,PT_DIFFERENTIATION_VTAR_ID,0))</f>
        <v>Тариф на подключение (технологическое присоединение) к централизованной системе холодного водоснабжения</v>
      </c>
      <c r="G199" s="2895" t="str">
        <f>INDEX(PT_DIFFERENTIATION_NTAR,MATCH(B199,PT_DIFFERENTIATION_NTAR_ID,0))</f>
        <v/>
      </c>
      <c r="H199" s="1777"/>
      <c r="I199" s="1656"/>
      <c r="J199" s="1690"/>
      <c r="K199" s="1695"/>
      <c r="L199" s="1777" t="s">
        <v>308</v>
      </c>
      <c r="M199" s="277"/>
      <c r="N199" s="270"/>
      <c r="O199" s="1542"/>
      <c r="P199" s="1542"/>
      <c r="AH199" s="1549">
        <v>0</v>
      </c>
    </row>
    <row r="200" spans="1:34" s="2513" customFormat="1" ht="18.75" hidden="1" customHeight="1">
      <c r="A200" s="1697"/>
      <c r="B200" s="1697"/>
      <c r="C200" s="304" t="s">
        <v>1147</v>
      </c>
      <c r="D200" s="2921"/>
      <c r="E200" s="2719"/>
      <c r="F200" s="2863"/>
      <c r="G200" s="2895"/>
      <c r="H200" s="1418"/>
      <c r="I200" s="586" t="s">
        <v>1146</v>
      </c>
      <c r="J200" s="506"/>
      <c r="K200" s="1418"/>
      <c r="L200" s="150"/>
      <c r="M200" s="277"/>
      <c r="N200" s="270"/>
      <c r="O200" s="1542"/>
      <c r="P200" s="1542"/>
      <c r="AH200" s="1549">
        <v>0</v>
      </c>
    </row>
    <row r="201" spans="1:34" s="2513" customFormat="1" ht="0.75" hidden="1" customHeight="1">
      <c r="A201" s="1697"/>
      <c r="B201" s="1697"/>
      <c r="C201" s="304" t="s">
        <v>1155</v>
      </c>
      <c r="D201" s="2921"/>
      <c r="E201" s="2719"/>
      <c r="F201" s="2863"/>
      <c r="G201" s="335"/>
      <c r="H201" s="1418"/>
      <c r="I201" s="586"/>
      <c r="J201" s="506"/>
      <c r="K201" s="1418"/>
      <c r="L201" s="150"/>
      <c r="M201" s="277"/>
      <c r="N201" s="270"/>
      <c r="O201" s="1542"/>
      <c r="P201" s="1542"/>
      <c r="AH201" s="1549">
        <v>0</v>
      </c>
    </row>
    <row r="202" spans="1:34" s="2513" customFormat="1" ht="18.75" hidden="1" customHeight="1">
      <c r="A202" s="1697" t="s">
        <v>252</v>
      </c>
      <c r="B202" s="1697" t="s">
        <v>253</v>
      </c>
      <c r="C202" s="304"/>
      <c r="D202" s="2921"/>
      <c r="E202" s="2719"/>
      <c r="F202" s="2863" t="str">
        <f>INDEX(PT_DIFFERENTIATION_VTAR,MATCH(A202,PT_DIFFERENTIATION_VTAR_ID,0))</f>
        <v>Тариф на горячую воду (горячее водоснабжение)</v>
      </c>
      <c r="G202" s="2895" t="str">
        <f>INDEX(PT_DIFFERENTIATION_NTAR,MATCH(B202,PT_DIFFERENTIATION_NTAR_ID,0))</f>
        <v/>
      </c>
      <c r="H202" s="1777"/>
      <c r="I202" s="1656"/>
      <c r="J202" s="1690"/>
      <c r="K202" s="1695"/>
      <c r="L202" s="1777" t="s">
        <v>308</v>
      </c>
      <c r="M202" s="277"/>
      <c r="N202" s="270"/>
      <c r="O202" s="1542"/>
      <c r="P202" s="1542"/>
      <c r="AH202" s="1549">
        <v>0</v>
      </c>
    </row>
    <row r="203" spans="1:34" s="2513" customFormat="1" ht="18.75" hidden="1" customHeight="1">
      <c r="A203" s="1697"/>
      <c r="B203" s="1697"/>
      <c r="C203" s="304" t="s">
        <v>1147</v>
      </c>
      <c r="D203" s="2921"/>
      <c r="E203" s="2719"/>
      <c r="F203" s="2863"/>
      <c r="G203" s="2895"/>
      <c r="H203" s="1418"/>
      <c r="I203" s="586" t="s">
        <v>1146</v>
      </c>
      <c r="J203" s="506"/>
      <c r="K203" s="1418"/>
      <c r="L203" s="150"/>
      <c r="M203" s="277"/>
      <c r="N203" s="270"/>
      <c r="O203" s="1542"/>
      <c r="P203" s="1542"/>
      <c r="AH203" s="1549">
        <v>0</v>
      </c>
    </row>
    <row r="204" spans="1:34" s="2513" customFormat="1" ht="0.75" hidden="1" customHeight="1">
      <c r="A204" s="1697"/>
      <c r="B204" s="1697"/>
      <c r="C204" s="304" t="s">
        <v>1155</v>
      </c>
      <c r="D204" s="2921"/>
      <c r="E204" s="2719"/>
      <c r="F204" s="2863"/>
      <c r="G204" s="335"/>
      <c r="H204" s="1418"/>
      <c r="I204" s="586"/>
      <c r="J204" s="506"/>
      <c r="K204" s="1418"/>
      <c r="L204" s="150"/>
      <c r="M204" s="277"/>
      <c r="N204" s="270"/>
      <c r="O204" s="1542"/>
      <c r="P204" s="1542"/>
      <c r="AH204" s="1549">
        <v>0</v>
      </c>
    </row>
    <row r="205" spans="1:34" s="2513" customFormat="1" ht="18.75" hidden="1" customHeight="1">
      <c r="A205" s="1697" t="s">
        <v>257</v>
      </c>
      <c r="B205" s="1697" t="s">
        <v>258</v>
      </c>
      <c r="C205" s="304"/>
      <c r="D205" s="2921"/>
      <c r="E205" s="2719"/>
      <c r="F205" s="2863" t="str">
        <f>INDEX(PT_DIFFERENTIATION_VTAR,MATCH(A205,PT_DIFFERENTIATION_VTAR_ID,0))</f>
        <v>Тариф на транспортировку горячей воды</v>
      </c>
      <c r="G205" s="2895" t="str">
        <f>INDEX(PT_DIFFERENTIATION_NTAR,MATCH(B205,PT_DIFFERENTIATION_NTAR_ID,0))</f>
        <v/>
      </c>
      <c r="H205" s="1777"/>
      <c r="I205" s="1656"/>
      <c r="J205" s="1690"/>
      <c r="K205" s="1695"/>
      <c r="L205" s="1777" t="s">
        <v>308</v>
      </c>
      <c r="M205" s="277"/>
      <c r="N205" s="270"/>
      <c r="O205" s="1542"/>
      <c r="P205" s="1542"/>
      <c r="AH205" s="1549">
        <v>0</v>
      </c>
    </row>
    <row r="206" spans="1:34" s="2513" customFormat="1" ht="18.75" hidden="1" customHeight="1">
      <c r="A206" s="1697"/>
      <c r="B206" s="1697"/>
      <c r="C206" s="304" t="s">
        <v>1147</v>
      </c>
      <c r="D206" s="2921"/>
      <c r="E206" s="2719"/>
      <c r="F206" s="2863"/>
      <c r="G206" s="2895"/>
      <c r="H206" s="1418"/>
      <c r="I206" s="586" t="s">
        <v>1146</v>
      </c>
      <c r="J206" s="506"/>
      <c r="K206" s="1418"/>
      <c r="L206" s="150"/>
      <c r="M206" s="277"/>
      <c r="N206" s="270"/>
      <c r="O206" s="1542"/>
      <c r="P206" s="1542"/>
      <c r="AH206" s="1549">
        <v>0</v>
      </c>
    </row>
    <row r="207" spans="1:34" s="2513" customFormat="1" ht="0.75" hidden="1" customHeight="1">
      <c r="A207" s="1697"/>
      <c r="B207" s="1697"/>
      <c r="C207" s="304" t="s">
        <v>1155</v>
      </c>
      <c r="D207" s="2921"/>
      <c r="E207" s="2719"/>
      <c r="F207" s="2863"/>
      <c r="G207" s="335"/>
      <c r="H207" s="1418"/>
      <c r="I207" s="586"/>
      <c r="J207" s="506"/>
      <c r="K207" s="1418"/>
      <c r="L207" s="150"/>
      <c r="M207" s="277"/>
      <c r="N207" s="270"/>
      <c r="O207" s="1542"/>
      <c r="P207" s="1542"/>
      <c r="AH207" s="1549">
        <v>0</v>
      </c>
    </row>
    <row r="208" spans="1:34" s="2513" customFormat="1" ht="18.75" hidden="1" customHeight="1">
      <c r="A208" s="1697" t="s">
        <v>262</v>
      </c>
      <c r="B208" s="1697" t="s">
        <v>263</v>
      </c>
      <c r="C208" s="304"/>
      <c r="D208" s="2921"/>
      <c r="E208" s="2719"/>
      <c r="F208" s="2863" t="str">
        <f>INDEX(PT_DIFFERENTIATION_VTAR,MATCH(A208,PT_DIFFERENTIATION_VTAR_ID,0))</f>
        <v>Тариф на подключение (технологическое присоединение) к централизованной системе горячего водоснабжения</v>
      </c>
      <c r="G208" s="2895" t="str">
        <f>INDEX(PT_DIFFERENTIATION_NTAR,MATCH(B208,PT_DIFFERENTIATION_NTAR_ID,0))</f>
        <v/>
      </c>
      <c r="H208" s="1777"/>
      <c r="I208" s="1656"/>
      <c r="J208" s="1690"/>
      <c r="K208" s="1695"/>
      <c r="L208" s="1777" t="s">
        <v>308</v>
      </c>
      <c r="M208" s="277"/>
      <c r="N208" s="270"/>
      <c r="O208" s="1542"/>
      <c r="P208" s="1542"/>
      <c r="AH208" s="1549">
        <v>0</v>
      </c>
    </row>
    <row r="209" spans="1:34" s="2513" customFormat="1" ht="18.75" hidden="1" customHeight="1">
      <c r="A209" s="1697"/>
      <c r="B209" s="1697"/>
      <c r="C209" s="304" t="s">
        <v>1147</v>
      </c>
      <c r="D209" s="2921"/>
      <c r="E209" s="2719"/>
      <c r="F209" s="2863"/>
      <c r="G209" s="2895"/>
      <c r="H209" s="1418"/>
      <c r="I209" s="586" t="s">
        <v>1146</v>
      </c>
      <c r="J209" s="506"/>
      <c r="K209" s="1418"/>
      <c r="L209" s="150"/>
      <c r="M209" s="277"/>
      <c r="N209" s="270"/>
      <c r="O209" s="1542"/>
      <c r="P209" s="1542"/>
      <c r="AH209" s="1549">
        <v>0</v>
      </c>
    </row>
    <row r="210" spans="1:34" s="2513" customFormat="1" ht="0.75" hidden="1" customHeight="1">
      <c r="A210" s="1697"/>
      <c r="B210" s="1697"/>
      <c r="C210" s="304" t="s">
        <v>1155</v>
      </c>
      <c r="D210" s="2921"/>
      <c r="E210" s="2719"/>
      <c r="F210" s="2863"/>
      <c r="G210" s="335"/>
      <c r="H210" s="1418"/>
      <c r="I210" s="586"/>
      <c r="J210" s="506"/>
      <c r="K210" s="1418"/>
      <c r="L210" s="150"/>
      <c r="M210" s="277"/>
      <c r="N210" s="270"/>
      <c r="O210" s="1542"/>
      <c r="P210" s="1542"/>
      <c r="AH210" s="1549">
        <v>0</v>
      </c>
    </row>
    <row r="211" spans="1:34" s="2513" customFormat="1" ht="18.75" hidden="1" customHeight="1">
      <c r="A211" s="1697" t="s">
        <v>267</v>
      </c>
      <c r="B211" s="1697" t="s">
        <v>268</v>
      </c>
      <c r="C211" s="304"/>
      <c r="D211" s="2921"/>
      <c r="E211" s="2719"/>
      <c r="F211" s="2863" t="str">
        <f>INDEX(PT_DIFFERENTIATION_VTAR,MATCH(A211,PT_DIFFERENTIATION_VTAR_ID,0))</f>
        <v>Тариф на водоотведение</v>
      </c>
      <c r="G211" s="2895" t="str">
        <f>INDEX(PT_DIFFERENTIATION_NTAR,MATCH(B211,PT_DIFFERENTIATION_NTAR_ID,0))</f>
        <v/>
      </c>
      <c r="H211" s="1777"/>
      <c r="I211" s="1656"/>
      <c r="J211" s="1690"/>
      <c r="K211" s="1695"/>
      <c r="L211" s="1777" t="s">
        <v>308</v>
      </c>
      <c r="M211" s="277"/>
      <c r="N211" s="270"/>
      <c r="O211" s="1542"/>
      <c r="P211" s="1542"/>
      <c r="AH211" s="1549">
        <v>0</v>
      </c>
    </row>
    <row r="212" spans="1:34" s="2513" customFormat="1" ht="18.75" hidden="1" customHeight="1">
      <c r="A212" s="1697"/>
      <c r="B212" s="1697"/>
      <c r="C212" s="304" t="s">
        <v>1147</v>
      </c>
      <c r="D212" s="2921"/>
      <c r="E212" s="2719"/>
      <c r="F212" s="2863"/>
      <c r="G212" s="2895"/>
      <c r="H212" s="1418"/>
      <c r="I212" s="586" t="s">
        <v>1146</v>
      </c>
      <c r="J212" s="506"/>
      <c r="K212" s="1418"/>
      <c r="L212" s="150"/>
      <c r="M212" s="277"/>
      <c r="N212" s="270"/>
      <c r="O212" s="1542"/>
      <c r="P212" s="1542"/>
      <c r="AH212" s="1549">
        <v>0</v>
      </c>
    </row>
    <row r="213" spans="1:34" s="2513" customFormat="1" ht="0.75" hidden="1" customHeight="1">
      <c r="A213" s="1697"/>
      <c r="B213" s="1697"/>
      <c r="C213" s="304" t="s">
        <v>1155</v>
      </c>
      <c r="D213" s="2921"/>
      <c r="E213" s="2719"/>
      <c r="F213" s="2863"/>
      <c r="G213" s="335"/>
      <c r="H213" s="1418"/>
      <c r="I213" s="586"/>
      <c r="J213" s="506"/>
      <c r="K213" s="1418"/>
      <c r="L213" s="150"/>
      <c r="M213" s="277"/>
      <c r="N213" s="270"/>
      <c r="O213" s="1542"/>
      <c r="P213" s="1542"/>
      <c r="AH213" s="1549">
        <v>0</v>
      </c>
    </row>
    <row r="214" spans="1:34" s="2513" customFormat="1" ht="18.75" hidden="1" customHeight="1">
      <c r="A214" s="1697" t="s">
        <v>272</v>
      </c>
      <c r="B214" s="1697" t="s">
        <v>273</v>
      </c>
      <c r="C214" s="304"/>
      <c r="D214" s="2921"/>
      <c r="E214" s="2719"/>
      <c r="F214" s="2863" t="str">
        <f>INDEX(PT_DIFFERENTIATION_VTAR,MATCH(A214,PT_DIFFERENTIATION_VTAR_ID,0))</f>
        <v>Тариф на транспортировку сточных вод</v>
      </c>
      <c r="G214" s="2895" t="str">
        <f>INDEX(PT_DIFFERENTIATION_NTAR,MATCH(B214,PT_DIFFERENTIATION_NTAR_ID,0))</f>
        <v/>
      </c>
      <c r="H214" s="1777"/>
      <c r="I214" s="1656"/>
      <c r="J214" s="1690"/>
      <c r="K214" s="1695"/>
      <c r="L214" s="1777" t="s">
        <v>308</v>
      </c>
      <c r="M214" s="277"/>
      <c r="N214" s="270"/>
      <c r="O214" s="1542"/>
      <c r="P214" s="1542"/>
      <c r="AH214" s="1549">
        <v>0</v>
      </c>
    </row>
    <row r="215" spans="1:34" s="2513" customFormat="1" ht="18.75" hidden="1" customHeight="1">
      <c r="A215" s="1697"/>
      <c r="B215" s="1697"/>
      <c r="C215" s="304" t="s">
        <v>1147</v>
      </c>
      <c r="D215" s="2921"/>
      <c r="E215" s="2719"/>
      <c r="F215" s="2863"/>
      <c r="G215" s="2895"/>
      <c r="H215" s="1418"/>
      <c r="I215" s="586" t="s">
        <v>1146</v>
      </c>
      <c r="J215" s="506"/>
      <c r="K215" s="1418"/>
      <c r="L215" s="150"/>
      <c r="M215" s="277"/>
      <c r="N215" s="270"/>
      <c r="O215" s="1542"/>
      <c r="P215" s="1542"/>
      <c r="AH215" s="1549">
        <v>0</v>
      </c>
    </row>
    <row r="216" spans="1:34" s="2513" customFormat="1" ht="0.75" hidden="1" customHeight="1">
      <c r="A216" s="1697"/>
      <c r="B216" s="1697"/>
      <c r="C216" s="304" t="s">
        <v>1155</v>
      </c>
      <c r="D216" s="2921"/>
      <c r="E216" s="2719"/>
      <c r="F216" s="2863"/>
      <c r="G216" s="335"/>
      <c r="H216" s="1418"/>
      <c r="I216" s="586"/>
      <c r="J216" s="506"/>
      <c r="K216" s="1418"/>
      <c r="L216" s="150"/>
      <c r="M216" s="277"/>
      <c r="N216" s="270"/>
      <c r="O216" s="1542"/>
      <c r="P216" s="1542"/>
      <c r="AH216" s="1549">
        <v>0</v>
      </c>
    </row>
    <row r="217" spans="1:34" s="2513" customFormat="1" ht="18.75" hidden="1" customHeight="1">
      <c r="A217" s="1697" t="s">
        <v>277</v>
      </c>
      <c r="B217" s="1697" t="s">
        <v>278</v>
      </c>
      <c r="C217" s="304"/>
      <c r="D217" s="2921"/>
      <c r="E217" s="2719"/>
      <c r="F217" s="2863" t="str">
        <f>INDEX(PT_DIFFERENTIATION_VTAR,MATCH(A217,PT_DIFFERENTIATION_VTAR_ID,0))</f>
        <v>Тариф на подключение (технологическое присоединение) к централизованной системе водоотведения</v>
      </c>
      <c r="G217" s="2895" t="str">
        <f>INDEX(PT_DIFFERENTIATION_NTAR,MATCH(B217,PT_DIFFERENTIATION_NTAR_ID,0))</f>
        <v/>
      </c>
      <c r="H217" s="1777"/>
      <c r="I217" s="1656"/>
      <c r="J217" s="1690"/>
      <c r="K217" s="1695"/>
      <c r="L217" s="1777" t="s">
        <v>308</v>
      </c>
      <c r="M217" s="277"/>
      <c r="N217" s="270"/>
      <c r="O217" s="1542"/>
      <c r="P217" s="1542"/>
      <c r="AH217" s="1549">
        <v>0</v>
      </c>
    </row>
    <row r="218" spans="1:34" s="2513" customFormat="1" ht="18.75" hidden="1" customHeight="1">
      <c r="A218" s="1697"/>
      <c r="B218" s="1697"/>
      <c r="C218" s="304" t="s">
        <v>1147</v>
      </c>
      <c r="D218" s="2921"/>
      <c r="E218" s="2719"/>
      <c r="F218" s="2863"/>
      <c r="G218" s="2895"/>
      <c r="H218" s="1418"/>
      <c r="I218" s="586" t="s">
        <v>1146</v>
      </c>
      <c r="J218" s="506"/>
      <c r="K218" s="1418"/>
      <c r="L218" s="150"/>
      <c r="M218" s="277"/>
      <c r="N218" s="270"/>
      <c r="O218" s="1542"/>
      <c r="P218" s="1542"/>
      <c r="AH218" s="1549">
        <v>0</v>
      </c>
    </row>
    <row r="219" spans="1:34" s="2513" customFormat="1" ht="1.1499999999999999" customHeight="1">
      <c r="A219" s="1697"/>
      <c r="B219" s="1697"/>
      <c r="C219" s="304" t="s">
        <v>1155</v>
      </c>
      <c r="D219" s="2921"/>
      <c r="E219" s="2719"/>
      <c r="F219" s="2863"/>
      <c r="G219" s="335"/>
      <c r="H219" s="1418"/>
      <c r="I219" s="586"/>
      <c r="J219" s="506"/>
      <c r="K219" s="1418"/>
      <c r="L219" s="150"/>
      <c r="M219" s="277"/>
      <c r="N219" s="270"/>
      <c r="O219" s="1542"/>
      <c r="P219" s="1542"/>
      <c r="AH219" s="1549">
        <v>1</v>
      </c>
    </row>
    <row r="220" spans="1:34" ht="27.4" customHeight="1">
      <c r="A220" s="1697"/>
      <c r="B220" s="1697"/>
      <c r="D220" s="311"/>
      <c r="E220" s="84" t="s">
        <v>110</v>
      </c>
      <c r="F220" s="291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20" s="2919"/>
      <c r="H220" s="2919"/>
      <c r="I220" s="2919"/>
      <c r="J220" s="2919"/>
      <c r="K220" s="2919"/>
      <c r="L220" s="2919"/>
      <c r="M220" s="233"/>
      <c r="N220" s="270"/>
      <c r="AH220" s="309">
        <v>26</v>
      </c>
    </row>
    <row r="221" spans="1:34" s="2513" customFormat="1" ht="60.75" customHeight="1">
      <c r="A221" s="1697" t="s">
        <v>155</v>
      </c>
      <c r="B221" s="1697" t="s">
        <v>156</v>
      </c>
      <c r="C221" s="304"/>
      <c r="D221" s="2921"/>
      <c r="E221" s="2719"/>
      <c r="F221" s="2863" t="str">
        <f>INDEX(PT_DIFFERENTIATION_VTAR,MATCH(A221,PT_DIFFERENTIATION_VTAR_ID,0))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1" s="2895" t="str">
        <f>INDEX(PT_DIFFERENTIATION_NTAR,MATCH(B221,PT_DIFFERENTIATION_NTAR_ID,0))</f>
        <v>Долгосрочный тариф на тепловую энергию для потребителей ООО "Ноябрьская ПГЭ" на 2025 - 2029 годы</v>
      </c>
      <c r="H221" s="1777"/>
      <c r="I221" s="2499">
        <v>45658.645243055558</v>
      </c>
      <c r="J221" s="2500">
        <v>47483</v>
      </c>
      <c r="K221" s="2580">
        <v>51267.35</v>
      </c>
      <c r="L221" s="1777" t="s">
        <v>308</v>
      </c>
      <c r="M221" s="26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21" s="270"/>
      <c r="O221" s="1542"/>
      <c r="P221" s="1542"/>
      <c r="AH221" s="1549">
        <v>0</v>
      </c>
    </row>
    <row r="222" spans="1:34" s="2513" customFormat="1" ht="18.75" customHeight="1">
      <c r="A222" s="1697"/>
      <c r="B222" s="1697"/>
      <c r="C222" s="304" t="s">
        <v>1147</v>
      </c>
      <c r="D222" s="2921"/>
      <c r="E222" s="2719"/>
      <c r="F222" s="2863"/>
      <c r="G222" s="2895"/>
      <c r="H222" s="1418"/>
      <c r="I222" s="586" t="s">
        <v>1146</v>
      </c>
      <c r="J222" s="506"/>
      <c r="K222" s="1418"/>
      <c r="L222" s="150"/>
      <c r="M222" s="2693"/>
      <c r="N222" s="270"/>
      <c r="O222" s="1542"/>
      <c r="P222" s="1542"/>
      <c r="AH222" s="1549">
        <v>0</v>
      </c>
    </row>
    <row r="223" spans="1:34" s="2513" customFormat="1" ht="0.75" customHeight="1">
      <c r="A223" s="1697"/>
      <c r="B223" s="1697"/>
      <c r="C223" s="304" t="s">
        <v>1155</v>
      </c>
      <c r="D223" s="2921"/>
      <c r="E223" s="2719"/>
      <c r="F223" s="2863"/>
      <c r="G223" s="335"/>
      <c r="H223" s="1418"/>
      <c r="I223" s="586"/>
      <c r="J223" s="506"/>
      <c r="K223" s="1418"/>
      <c r="L223" s="150"/>
      <c r="M223" s="2693"/>
      <c r="N223" s="270"/>
      <c r="O223" s="1542"/>
      <c r="P223" s="1542"/>
      <c r="AH223" s="1549">
        <v>0</v>
      </c>
    </row>
    <row r="224" spans="1:34" s="2513" customFormat="1" ht="45" hidden="1" customHeight="1">
      <c r="A224" s="1697" t="s">
        <v>165</v>
      </c>
      <c r="B224" s="1697" t="s">
        <v>166</v>
      </c>
      <c r="C224" s="304"/>
      <c r="D224" s="2921"/>
      <c r="E224" s="2719"/>
      <c r="F224" s="2863" t="str">
        <f>INDEX(PT_DIFFERENTIATION_VTAR,MATCH(A224,PT_DIFFERENTIATION_VTAR_ID,0))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24" s="2895" t="str">
        <f>INDEX(PT_DIFFERENTIATION_NTAR,MATCH(B224,PT_DIFFERENTIATION_NTAR_ID,0))</f>
        <v/>
      </c>
      <c r="H224" s="1777"/>
      <c r="I224" s="1656"/>
      <c r="J224" s="1690"/>
      <c r="K224" s="1695"/>
      <c r="L224" s="1777" t="s">
        <v>308</v>
      </c>
      <c r="M224" s="2694"/>
      <c r="N224" s="270"/>
      <c r="O224" s="1542"/>
      <c r="P224" s="1542"/>
      <c r="AH224" s="1549">
        <v>0</v>
      </c>
    </row>
    <row r="225" spans="1:34" s="2513" customFormat="1" ht="18.75" hidden="1" customHeight="1">
      <c r="A225" s="1697"/>
      <c r="B225" s="1697"/>
      <c r="C225" s="304" t="s">
        <v>1147</v>
      </c>
      <c r="D225" s="2921"/>
      <c r="E225" s="2719"/>
      <c r="F225" s="2863"/>
      <c r="G225" s="2895"/>
      <c r="H225" s="1418"/>
      <c r="I225" s="586" t="s">
        <v>1146</v>
      </c>
      <c r="J225" s="506"/>
      <c r="K225" s="1418"/>
      <c r="L225" s="150"/>
      <c r="M225" s="1776"/>
      <c r="N225" s="270"/>
      <c r="O225" s="1542"/>
      <c r="P225" s="1542"/>
      <c r="AH225" s="1549">
        <v>0</v>
      </c>
    </row>
    <row r="226" spans="1:34" s="2513" customFormat="1" ht="0.75" hidden="1" customHeight="1">
      <c r="A226" s="1697"/>
      <c r="B226" s="1697"/>
      <c r="C226" s="304" t="s">
        <v>1155</v>
      </c>
      <c r="D226" s="2921"/>
      <c r="E226" s="2719"/>
      <c r="F226" s="2863"/>
      <c r="G226" s="335"/>
      <c r="H226" s="1418"/>
      <c r="I226" s="586"/>
      <c r="J226" s="506"/>
      <c r="K226" s="1418"/>
      <c r="L226" s="150"/>
      <c r="M226" s="277"/>
      <c r="N226" s="270"/>
      <c r="O226" s="1542"/>
      <c r="P226" s="1542"/>
      <c r="AH226" s="1549">
        <v>0</v>
      </c>
    </row>
    <row r="227" spans="1:34" s="2513" customFormat="1" ht="45" hidden="1" customHeight="1">
      <c r="A227" s="1697" t="s">
        <v>171</v>
      </c>
      <c r="B227" s="1697" t="s">
        <v>172</v>
      </c>
      <c r="C227" s="304"/>
      <c r="D227" s="2921"/>
      <c r="E227" s="2719"/>
      <c r="F227" s="2863" t="str">
        <f>INDEX(PT_DIFFERENTIATION_VTAR,MATCH(A227,PT_DIFFERENTIATION_VTAR_ID,0))</f>
        <v>Тарифы на теплоноситель, поставляемый теплоснабжающими организациями потребителям, другим теплоснабжающим организациям</v>
      </c>
      <c r="G227" s="2895" t="str">
        <f>INDEX(PT_DIFFERENTIATION_NTAR,MATCH(B227,PT_DIFFERENTIATION_NTAR_ID,0))</f>
        <v/>
      </c>
      <c r="H227" s="1777"/>
      <c r="I227" s="1656"/>
      <c r="J227" s="1690"/>
      <c r="K227" s="1695"/>
      <c r="L227" s="1777" t="s">
        <v>308</v>
      </c>
      <c r="M227" s="277"/>
      <c r="N227" s="270"/>
      <c r="O227" s="1542"/>
      <c r="P227" s="1542"/>
      <c r="AH227" s="1549">
        <v>0</v>
      </c>
    </row>
    <row r="228" spans="1:34" s="2513" customFormat="1" ht="18.75" hidden="1" customHeight="1">
      <c r="A228" s="1697"/>
      <c r="B228" s="1697"/>
      <c r="C228" s="304" t="s">
        <v>1147</v>
      </c>
      <c r="D228" s="2921"/>
      <c r="E228" s="2719"/>
      <c r="F228" s="2863"/>
      <c r="G228" s="2895"/>
      <c r="H228" s="1418"/>
      <c r="I228" s="586" t="s">
        <v>1146</v>
      </c>
      <c r="J228" s="506"/>
      <c r="K228" s="1418"/>
      <c r="L228" s="150"/>
      <c r="M228" s="277"/>
      <c r="N228" s="270"/>
      <c r="O228" s="1542"/>
      <c r="P228" s="1542"/>
      <c r="AH228" s="1549">
        <v>0</v>
      </c>
    </row>
    <row r="229" spans="1:34" s="2513" customFormat="1" ht="0.75" hidden="1" customHeight="1">
      <c r="A229" s="1697"/>
      <c r="B229" s="1697"/>
      <c r="C229" s="304" t="s">
        <v>1155</v>
      </c>
      <c r="D229" s="2921"/>
      <c r="E229" s="2719"/>
      <c r="F229" s="2863"/>
      <c r="G229" s="335"/>
      <c r="H229" s="1418"/>
      <c r="I229" s="586"/>
      <c r="J229" s="506"/>
      <c r="K229" s="1418"/>
      <c r="L229" s="150"/>
      <c r="M229" s="277"/>
      <c r="N229" s="270"/>
      <c r="O229" s="1542"/>
      <c r="P229" s="1542"/>
      <c r="AH229" s="1549">
        <v>0</v>
      </c>
    </row>
    <row r="230" spans="1:34" s="2513" customFormat="1" ht="45" hidden="1" customHeight="1">
      <c r="A230" s="1697" t="s">
        <v>177</v>
      </c>
      <c r="B230" s="1697" t="s">
        <v>178</v>
      </c>
      <c r="C230" s="304"/>
      <c r="D230" s="2921"/>
      <c r="E230" s="2719"/>
      <c r="F230" s="2863" t="str">
        <f>INDEX(PT_DIFFERENTIATION_VTAR,MATCH(A230,PT_DIFFERENTIATION_VTAR_ID,0))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0" s="2895" t="str">
        <f>INDEX(PT_DIFFERENTIATION_NTAR,MATCH(B230,PT_DIFFERENTIATION_NTAR_ID,0))</f>
        <v/>
      </c>
      <c r="H230" s="1777"/>
      <c r="I230" s="1656"/>
      <c r="J230" s="1690"/>
      <c r="K230" s="1695"/>
      <c r="L230" s="1777" t="s">
        <v>308</v>
      </c>
      <c r="M230" s="277"/>
      <c r="N230" s="270"/>
      <c r="O230" s="1542"/>
      <c r="P230" s="1542"/>
      <c r="AH230" s="1549">
        <v>0</v>
      </c>
    </row>
    <row r="231" spans="1:34" s="2513" customFormat="1" ht="18.75" hidden="1" customHeight="1">
      <c r="A231" s="1697"/>
      <c r="B231" s="1697"/>
      <c r="C231" s="304" t="s">
        <v>1147</v>
      </c>
      <c r="D231" s="2921"/>
      <c r="E231" s="2719"/>
      <c r="F231" s="2863"/>
      <c r="G231" s="2895"/>
      <c r="H231" s="1418"/>
      <c r="I231" s="586" t="s">
        <v>1146</v>
      </c>
      <c r="J231" s="506"/>
      <c r="K231" s="1418"/>
      <c r="L231" s="150"/>
      <c r="M231" s="277"/>
      <c r="N231" s="270"/>
      <c r="O231" s="1542"/>
      <c r="P231" s="1542"/>
      <c r="AH231" s="1549">
        <v>0</v>
      </c>
    </row>
    <row r="232" spans="1:34" s="2513" customFormat="1" ht="0.75" hidden="1" customHeight="1">
      <c r="A232" s="1697"/>
      <c r="B232" s="1697"/>
      <c r="C232" s="304" t="s">
        <v>1155</v>
      </c>
      <c r="D232" s="2921"/>
      <c r="E232" s="2719"/>
      <c r="F232" s="2863"/>
      <c r="G232" s="335"/>
      <c r="H232" s="1418"/>
      <c r="I232" s="586"/>
      <c r="J232" s="506"/>
      <c r="K232" s="1418"/>
      <c r="L232" s="150"/>
      <c r="M232" s="277"/>
      <c r="N232" s="270"/>
      <c r="O232" s="1542"/>
      <c r="P232" s="1542"/>
      <c r="AH232" s="1549">
        <v>0</v>
      </c>
    </row>
    <row r="233" spans="1:34" s="2513" customFormat="1" ht="18.75" hidden="1" customHeight="1">
      <c r="A233" s="1697" t="s">
        <v>183</v>
      </c>
      <c r="B233" s="1697" t="s">
        <v>184</v>
      </c>
      <c r="C233" s="304"/>
      <c r="D233" s="2921"/>
      <c r="E233" s="2719"/>
      <c r="F233" s="2863" t="str">
        <f>INDEX(PT_DIFFERENTIATION_VTAR,MATCH(A233,PT_DIFFERENTIATION_VTAR_ID,0))</f>
        <v>Тарифы на услуги по передаче тепловой энергии</v>
      </c>
      <c r="G233" s="2895" t="str">
        <f>INDEX(PT_DIFFERENTIATION_NTAR,MATCH(B233,PT_DIFFERENTIATION_NTAR_ID,0))</f>
        <v/>
      </c>
      <c r="H233" s="1777"/>
      <c r="I233" s="1656"/>
      <c r="J233" s="1690"/>
      <c r="K233" s="1695"/>
      <c r="L233" s="1777" t="s">
        <v>308</v>
      </c>
      <c r="M233" s="277"/>
      <c r="N233" s="270"/>
      <c r="O233" s="1542"/>
      <c r="P233" s="1542"/>
      <c r="AH233" s="1549">
        <v>0</v>
      </c>
    </row>
    <row r="234" spans="1:34" s="2513" customFormat="1" ht="18.75" hidden="1" customHeight="1">
      <c r="A234" s="1697"/>
      <c r="B234" s="1697"/>
      <c r="C234" s="304" t="s">
        <v>1147</v>
      </c>
      <c r="D234" s="2921"/>
      <c r="E234" s="2719"/>
      <c r="F234" s="2863"/>
      <c r="G234" s="2895"/>
      <c r="H234" s="1418"/>
      <c r="I234" s="586" t="s">
        <v>1146</v>
      </c>
      <c r="J234" s="506"/>
      <c r="K234" s="1418"/>
      <c r="L234" s="150"/>
      <c r="M234" s="277"/>
      <c r="N234" s="270"/>
      <c r="O234" s="1542"/>
      <c r="P234" s="1542"/>
      <c r="AH234" s="1549">
        <v>0</v>
      </c>
    </row>
    <row r="235" spans="1:34" s="2513" customFormat="1" ht="0.75" hidden="1" customHeight="1">
      <c r="A235" s="1697"/>
      <c r="B235" s="1697"/>
      <c r="C235" s="304" t="s">
        <v>1155</v>
      </c>
      <c r="D235" s="2921"/>
      <c r="E235" s="2719"/>
      <c r="F235" s="2863"/>
      <c r="G235" s="335"/>
      <c r="H235" s="1418"/>
      <c r="I235" s="586"/>
      <c r="J235" s="506"/>
      <c r="K235" s="1418"/>
      <c r="L235" s="150"/>
      <c r="M235" s="277"/>
      <c r="N235" s="270"/>
      <c r="O235" s="1542"/>
      <c r="P235" s="1542"/>
      <c r="AH235" s="1549">
        <v>0</v>
      </c>
    </row>
    <row r="236" spans="1:34" s="2513" customFormat="1" ht="18.75" hidden="1" customHeight="1">
      <c r="A236" s="1697" t="s">
        <v>189</v>
      </c>
      <c r="B236" s="1697" t="s">
        <v>190</v>
      </c>
      <c r="C236" s="304"/>
      <c r="D236" s="2921"/>
      <c r="E236" s="2719"/>
      <c r="F236" s="2863" t="str">
        <f>INDEX(PT_DIFFERENTIATION_VTAR,MATCH(A236,PT_DIFFERENTIATION_VTAR_ID,0))</f>
        <v>Тарифы на услуги по передаче теплоносителя</v>
      </c>
      <c r="G236" s="2895" t="str">
        <f>INDEX(PT_DIFFERENTIATION_NTAR,MATCH(B236,PT_DIFFERENTIATION_NTAR_ID,0))</f>
        <v/>
      </c>
      <c r="H236" s="1777"/>
      <c r="I236" s="1656"/>
      <c r="J236" s="1690"/>
      <c r="K236" s="1695"/>
      <c r="L236" s="1777" t="s">
        <v>308</v>
      </c>
      <c r="M236" s="277"/>
      <c r="N236" s="270"/>
      <c r="O236" s="1542"/>
      <c r="P236" s="1542"/>
      <c r="AH236" s="1549">
        <v>0</v>
      </c>
    </row>
    <row r="237" spans="1:34" s="2513" customFormat="1" ht="18.75" hidden="1" customHeight="1">
      <c r="A237" s="1697"/>
      <c r="B237" s="1697"/>
      <c r="C237" s="304" t="s">
        <v>1147</v>
      </c>
      <c r="D237" s="2921"/>
      <c r="E237" s="2719"/>
      <c r="F237" s="2863"/>
      <c r="G237" s="2895"/>
      <c r="H237" s="1418"/>
      <c r="I237" s="586" t="s">
        <v>1146</v>
      </c>
      <c r="J237" s="506"/>
      <c r="K237" s="1418"/>
      <c r="L237" s="150"/>
      <c r="M237" s="277"/>
      <c r="N237" s="270"/>
      <c r="O237" s="1542"/>
      <c r="P237" s="1542"/>
      <c r="AH237" s="1549">
        <v>0</v>
      </c>
    </row>
    <row r="238" spans="1:34" s="2513" customFormat="1" ht="0.75" hidden="1" customHeight="1">
      <c r="A238" s="1697"/>
      <c r="B238" s="1697"/>
      <c r="C238" s="304" t="s">
        <v>1155</v>
      </c>
      <c r="D238" s="2921"/>
      <c r="E238" s="2719"/>
      <c r="F238" s="2863"/>
      <c r="G238" s="335"/>
      <c r="H238" s="1418"/>
      <c r="I238" s="586"/>
      <c r="J238" s="506"/>
      <c r="K238" s="1418"/>
      <c r="L238" s="150"/>
      <c r="M238" s="277"/>
      <c r="N238" s="270"/>
      <c r="O238" s="1542"/>
      <c r="P238" s="1542"/>
      <c r="AH238" s="1549">
        <v>0</v>
      </c>
    </row>
    <row r="239" spans="1:34" s="2513" customFormat="1" ht="18.75" hidden="1" customHeight="1">
      <c r="A239" s="1697" t="s">
        <v>195</v>
      </c>
      <c r="B239" s="1697" t="s">
        <v>196</v>
      </c>
      <c r="C239" s="304"/>
      <c r="D239" s="2921"/>
      <c r="E239" s="2719"/>
      <c r="F239" s="2863" t="str">
        <f>INDEX(PT_DIFFERENTIATION_VTAR,MATCH(A239,PT_DIFFERENTIATION_VTAR_ID,0))</f>
        <v>Плата за услуги по поддержанию резервной тепловой мощности при отсутствии потребления тепловой энергии</v>
      </c>
      <c r="G239" s="2895" t="str">
        <f>INDEX(PT_DIFFERENTIATION_NTAR,MATCH(B239,PT_DIFFERENTIATION_NTAR_ID,0))</f>
        <v/>
      </c>
      <c r="H239" s="1777"/>
      <c r="I239" s="1656"/>
      <c r="J239" s="1690"/>
      <c r="K239" s="1695"/>
      <c r="L239" s="1777" t="s">
        <v>308</v>
      </c>
      <c r="M239" s="277"/>
      <c r="N239" s="270"/>
      <c r="O239" s="1542"/>
      <c r="P239" s="1542"/>
      <c r="AH239" s="1549">
        <v>0</v>
      </c>
    </row>
    <row r="240" spans="1:34" s="2513" customFormat="1" ht="18.75" hidden="1" customHeight="1">
      <c r="A240" s="1697"/>
      <c r="B240" s="1697"/>
      <c r="C240" s="304" t="s">
        <v>1147</v>
      </c>
      <c r="D240" s="2921"/>
      <c r="E240" s="2719"/>
      <c r="F240" s="2863"/>
      <c r="G240" s="2895"/>
      <c r="H240" s="1418"/>
      <c r="I240" s="586" t="s">
        <v>1146</v>
      </c>
      <c r="J240" s="506"/>
      <c r="K240" s="1418"/>
      <c r="L240" s="150"/>
      <c r="M240" s="277"/>
      <c r="N240" s="270"/>
      <c r="O240" s="1542"/>
      <c r="P240" s="1542"/>
      <c r="AH240" s="1549">
        <v>0</v>
      </c>
    </row>
    <row r="241" spans="1:34" s="2513" customFormat="1" ht="0.75" hidden="1" customHeight="1">
      <c r="A241" s="1697"/>
      <c r="B241" s="1697"/>
      <c r="C241" s="304" t="s">
        <v>1155</v>
      </c>
      <c r="D241" s="2921"/>
      <c r="E241" s="2719"/>
      <c r="F241" s="2863"/>
      <c r="G241" s="335"/>
      <c r="H241" s="1418"/>
      <c r="I241" s="586"/>
      <c r="J241" s="506"/>
      <c r="K241" s="1418"/>
      <c r="L241" s="150"/>
      <c r="M241" s="277"/>
      <c r="N241" s="270"/>
      <c r="O241" s="1542"/>
      <c r="P241" s="1542"/>
      <c r="AH241" s="1549">
        <v>0</v>
      </c>
    </row>
    <row r="242" spans="1:34" s="2513" customFormat="1" ht="18.75" hidden="1" customHeight="1">
      <c r="A242" s="1697" t="s">
        <v>201</v>
      </c>
      <c r="B242" s="1697" t="s">
        <v>202</v>
      </c>
      <c r="C242" s="304"/>
      <c r="D242" s="2921"/>
      <c r="E242" s="2719"/>
      <c r="F242" s="2863" t="str">
        <f>INDEX(PT_DIFFERENTIATION_VTAR,MATCH(A242,PT_DIFFERENTIATION_VTAR_ID,0))</f>
        <v>Плата за подключение (технологическое присоединение) к системе теплоснабжения</v>
      </c>
      <c r="G242" s="2895" t="str">
        <f>INDEX(PT_DIFFERENTIATION_NTAR,MATCH(B242,PT_DIFFERENTIATION_NTAR_ID,0))</f>
        <v/>
      </c>
      <c r="H242" s="1777"/>
      <c r="I242" s="1656"/>
      <c r="J242" s="1690"/>
      <c r="K242" s="1695"/>
      <c r="L242" s="1777" t="s">
        <v>308</v>
      </c>
      <c r="M242" s="277"/>
      <c r="N242" s="270"/>
      <c r="O242" s="1542"/>
      <c r="P242" s="1542"/>
      <c r="AH242" s="1549">
        <v>0</v>
      </c>
    </row>
    <row r="243" spans="1:34" s="2513" customFormat="1" ht="18.75" hidden="1" customHeight="1">
      <c r="A243" s="1697"/>
      <c r="B243" s="1697"/>
      <c r="C243" s="304" t="s">
        <v>1147</v>
      </c>
      <c r="D243" s="2921"/>
      <c r="E243" s="2719"/>
      <c r="F243" s="2863"/>
      <c r="G243" s="2895"/>
      <c r="H243" s="1418"/>
      <c r="I243" s="586" t="s">
        <v>1146</v>
      </c>
      <c r="J243" s="506"/>
      <c r="K243" s="1418"/>
      <c r="L243" s="150"/>
      <c r="M243" s="277"/>
      <c r="N243" s="270"/>
      <c r="O243" s="1542"/>
      <c r="P243" s="1542"/>
      <c r="AH243" s="1549">
        <v>0</v>
      </c>
    </row>
    <row r="244" spans="1:34" s="2513" customFormat="1" ht="0.75" hidden="1" customHeight="1">
      <c r="A244" s="1697"/>
      <c r="B244" s="1697"/>
      <c r="C244" s="304" t="s">
        <v>1155</v>
      </c>
      <c r="D244" s="2921"/>
      <c r="E244" s="2719"/>
      <c r="F244" s="2863"/>
      <c r="G244" s="335"/>
      <c r="H244" s="1418"/>
      <c r="I244" s="586"/>
      <c r="J244" s="506"/>
      <c r="K244" s="1418"/>
      <c r="L244" s="150"/>
      <c r="M244" s="277"/>
      <c r="N244" s="270"/>
      <c r="O244" s="1542"/>
      <c r="P244" s="1542"/>
      <c r="AH244" s="1549">
        <v>0</v>
      </c>
    </row>
    <row r="245" spans="1:34" s="2513" customFormat="1" ht="18.75" hidden="1" customHeight="1">
      <c r="A245" s="1697" t="s">
        <v>207</v>
      </c>
      <c r="B245" s="1697" t="s">
        <v>208</v>
      </c>
      <c r="C245" s="304"/>
      <c r="D245" s="2921"/>
      <c r="E245" s="2719"/>
      <c r="F245" s="2863" t="str">
        <f>INDEX(PT_DIFFERENTIATION_VTAR,MATCH(A245,PT_DIFFERENTIATION_VTAR_ID,0))</f>
        <v>Плата за подключение (технологическое присоединение) к системе теплоснабжения (индивидуальная)</v>
      </c>
      <c r="G245" s="2895" t="str">
        <f>INDEX(PT_DIFFERENTIATION_NTAR,MATCH(B245,PT_DIFFERENTIATION_NTAR_ID,0))</f>
        <v/>
      </c>
      <c r="H245" s="1901"/>
      <c r="I245" s="1656"/>
      <c r="J245" s="1690"/>
      <c r="K245" s="1695"/>
      <c r="L245" s="1901" t="s">
        <v>308</v>
      </c>
      <c r="M245" s="277"/>
      <c r="N245" s="270"/>
      <c r="O245" s="1542"/>
      <c r="P245" s="1542"/>
      <c r="AH245" s="1549">
        <v>0</v>
      </c>
    </row>
    <row r="246" spans="1:34" s="2513" customFormat="1" ht="18.75" hidden="1" customHeight="1">
      <c r="A246" s="1697"/>
      <c r="B246" s="1697"/>
      <c r="C246" s="304" t="s">
        <v>1147</v>
      </c>
      <c r="D246" s="2921"/>
      <c r="E246" s="2719"/>
      <c r="F246" s="2863"/>
      <c r="G246" s="2895"/>
      <c r="H246" s="1418"/>
      <c r="I246" s="586" t="s">
        <v>1146</v>
      </c>
      <c r="J246" s="506"/>
      <c r="K246" s="1418"/>
      <c r="L246" s="150"/>
      <c r="M246" s="277"/>
      <c r="N246" s="270"/>
      <c r="O246" s="1542"/>
      <c r="P246" s="1542"/>
      <c r="AH246" s="1549">
        <v>0</v>
      </c>
    </row>
    <row r="247" spans="1:34" s="2513" customFormat="1" ht="0.75" hidden="1" customHeight="1">
      <c r="A247" s="1697"/>
      <c r="B247" s="1697"/>
      <c r="C247" s="304" t="s">
        <v>1155</v>
      </c>
      <c r="D247" s="2921"/>
      <c r="E247" s="2719"/>
      <c r="F247" s="2863"/>
      <c r="G247" s="335"/>
      <c r="H247" s="1418"/>
      <c r="I247" s="586"/>
      <c r="J247" s="506"/>
      <c r="K247" s="1418"/>
      <c r="L247" s="150"/>
      <c r="M247" s="277"/>
      <c r="N247" s="270"/>
      <c r="O247" s="1542"/>
      <c r="P247" s="1542"/>
      <c r="AH247" s="1549">
        <v>0</v>
      </c>
    </row>
    <row r="248" spans="1:34" s="2513" customFormat="1" ht="18.75" hidden="1" customHeight="1">
      <c r="A248" s="1697" t="s">
        <v>227</v>
      </c>
      <c r="B248" s="1697" t="s">
        <v>228</v>
      </c>
      <c r="C248" s="304"/>
      <c r="D248" s="2921"/>
      <c r="E248" s="2719"/>
      <c r="F248" s="2863" t="str">
        <f>INDEX(PT_DIFFERENTIATION_VTAR,MATCH(A248,PT_DIFFERENTIATION_VTAR_ID,0))</f>
        <v>Тариф на питьевую воду (питьевое водоснабжение)</v>
      </c>
      <c r="G248" s="2895" t="str">
        <f>INDEX(PT_DIFFERENTIATION_NTAR,MATCH(B248,PT_DIFFERENTIATION_NTAR_ID,0))</f>
        <v/>
      </c>
      <c r="H248" s="1777"/>
      <c r="I248" s="1656"/>
      <c r="J248" s="1690"/>
      <c r="K248" s="1695"/>
      <c r="L248" s="1777" t="s">
        <v>308</v>
      </c>
      <c r="M248" s="277"/>
      <c r="N248" s="270"/>
      <c r="O248" s="1542"/>
      <c r="P248" s="1542"/>
      <c r="AH248" s="1549">
        <v>0</v>
      </c>
    </row>
    <row r="249" spans="1:34" s="2513" customFormat="1" ht="18.75" hidden="1" customHeight="1">
      <c r="A249" s="1697"/>
      <c r="B249" s="1697"/>
      <c r="C249" s="304" t="s">
        <v>1147</v>
      </c>
      <c r="D249" s="2921"/>
      <c r="E249" s="2719"/>
      <c r="F249" s="2863"/>
      <c r="G249" s="2895"/>
      <c r="H249" s="1418"/>
      <c r="I249" s="586" t="s">
        <v>1146</v>
      </c>
      <c r="J249" s="506"/>
      <c r="K249" s="1418"/>
      <c r="L249" s="150"/>
      <c r="M249" s="277"/>
      <c r="N249" s="270"/>
      <c r="O249" s="1542"/>
      <c r="P249" s="1542"/>
      <c r="AH249" s="1549">
        <v>0</v>
      </c>
    </row>
    <row r="250" spans="1:34" s="2513" customFormat="1" ht="0.75" hidden="1" customHeight="1">
      <c r="A250" s="1697"/>
      <c r="B250" s="1697"/>
      <c r="C250" s="304" t="s">
        <v>1155</v>
      </c>
      <c r="D250" s="2921"/>
      <c r="E250" s="2719"/>
      <c r="F250" s="2863"/>
      <c r="G250" s="335"/>
      <c r="H250" s="1418"/>
      <c r="I250" s="586"/>
      <c r="J250" s="506"/>
      <c r="K250" s="1418"/>
      <c r="L250" s="150"/>
      <c r="M250" s="277"/>
      <c r="N250" s="270"/>
      <c r="O250" s="1542"/>
      <c r="P250" s="1542"/>
      <c r="AH250" s="1549">
        <v>0</v>
      </c>
    </row>
    <row r="251" spans="1:34" s="2513" customFormat="1" ht="18.75" hidden="1" customHeight="1">
      <c r="A251" s="1697" t="s">
        <v>232</v>
      </c>
      <c r="B251" s="1697" t="s">
        <v>233</v>
      </c>
      <c r="C251" s="304"/>
      <c r="D251" s="2921"/>
      <c r="E251" s="2719"/>
      <c r="F251" s="2863" t="str">
        <f>INDEX(PT_DIFFERENTIATION_VTAR,MATCH(A251,PT_DIFFERENTIATION_VTAR_ID,0))</f>
        <v>Тариф на техническую воду</v>
      </c>
      <c r="G251" s="2895" t="str">
        <f>INDEX(PT_DIFFERENTIATION_NTAR,MATCH(B251,PT_DIFFERENTIATION_NTAR_ID,0))</f>
        <v/>
      </c>
      <c r="H251" s="1777"/>
      <c r="I251" s="1656"/>
      <c r="J251" s="1690"/>
      <c r="K251" s="1695"/>
      <c r="L251" s="1777" t="s">
        <v>308</v>
      </c>
      <c r="M251" s="277"/>
      <c r="N251" s="270"/>
      <c r="O251" s="1542"/>
      <c r="P251" s="1542"/>
      <c r="AH251" s="1549">
        <v>0</v>
      </c>
    </row>
    <row r="252" spans="1:34" s="2513" customFormat="1" ht="18.75" hidden="1" customHeight="1">
      <c r="A252" s="1697"/>
      <c r="B252" s="1697"/>
      <c r="C252" s="304" t="s">
        <v>1147</v>
      </c>
      <c r="D252" s="2921"/>
      <c r="E252" s="2719"/>
      <c r="F252" s="2863"/>
      <c r="G252" s="2895"/>
      <c r="H252" s="1418"/>
      <c r="I252" s="586" t="s">
        <v>1146</v>
      </c>
      <c r="J252" s="506"/>
      <c r="K252" s="1418"/>
      <c r="L252" s="150"/>
      <c r="M252" s="277"/>
      <c r="N252" s="270"/>
      <c r="O252" s="1542"/>
      <c r="P252" s="1542"/>
      <c r="AH252" s="1549">
        <v>0</v>
      </c>
    </row>
    <row r="253" spans="1:34" s="2513" customFormat="1" ht="0.75" hidden="1" customHeight="1">
      <c r="A253" s="1697"/>
      <c r="B253" s="1697"/>
      <c r="C253" s="304" t="s">
        <v>1155</v>
      </c>
      <c r="D253" s="2921"/>
      <c r="E253" s="2719"/>
      <c r="F253" s="2863"/>
      <c r="G253" s="335"/>
      <c r="H253" s="1418"/>
      <c r="I253" s="586"/>
      <c r="J253" s="506"/>
      <c r="K253" s="1418"/>
      <c r="L253" s="150"/>
      <c r="M253" s="277"/>
      <c r="N253" s="270"/>
      <c r="O253" s="1542"/>
      <c r="P253" s="1542"/>
      <c r="AH253" s="1549">
        <v>0</v>
      </c>
    </row>
    <row r="254" spans="1:34" s="2513" customFormat="1" ht="18.75" hidden="1" customHeight="1">
      <c r="A254" s="1697" t="s">
        <v>237</v>
      </c>
      <c r="B254" s="1697" t="s">
        <v>238</v>
      </c>
      <c r="C254" s="304"/>
      <c r="D254" s="2921"/>
      <c r="E254" s="2719"/>
      <c r="F254" s="2863" t="str">
        <f>INDEX(PT_DIFFERENTIATION_VTAR,MATCH(A254,PT_DIFFERENTIATION_VTAR_ID,0))</f>
        <v>Тариф на транспортировку воды</v>
      </c>
      <c r="G254" s="2895" t="str">
        <f>INDEX(PT_DIFFERENTIATION_NTAR,MATCH(B254,PT_DIFFERENTIATION_NTAR_ID,0))</f>
        <v/>
      </c>
      <c r="H254" s="1777"/>
      <c r="I254" s="1656"/>
      <c r="J254" s="1690"/>
      <c r="K254" s="1695"/>
      <c r="L254" s="1777" t="s">
        <v>308</v>
      </c>
      <c r="M254" s="277"/>
      <c r="N254" s="270"/>
      <c r="O254" s="1542"/>
      <c r="P254" s="1542"/>
      <c r="AH254" s="1549">
        <v>0</v>
      </c>
    </row>
    <row r="255" spans="1:34" s="2513" customFormat="1" ht="18.75" hidden="1" customHeight="1">
      <c r="A255" s="1697"/>
      <c r="B255" s="1697"/>
      <c r="C255" s="304" t="s">
        <v>1147</v>
      </c>
      <c r="D255" s="2921"/>
      <c r="E255" s="2719"/>
      <c r="F255" s="2863"/>
      <c r="G255" s="2895"/>
      <c r="H255" s="1418"/>
      <c r="I255" s="586" t="s">
        <v>1146</v>
      </c>
      <c r="J255" s="506"/>
      <c r="K255" s="1418"/>
      <c r="L255" s="150"/>
      <c r="M255" s="277"/>
      <c r="N255" s="270"/>
      <c r="O255" s="1542"/>
      <c r="P255" s="1542"/>
      <c r="AH255" s="1549">
        <v>0</v>
      </c>
    </row>
    <row r="256" spans="1:34" s="2513" customFormat="1" ht="0.75" hidden="1" customHeight="1">
      <c r="A256" s="1697"/>
      <c r="B256" s="1697"/>
      <c r="C256" s="304" t="s">
        <v>1155</v>
      </c>
      <c r="D256" s="2921"/>
      <c r="E256" s="2719"/>
      <c r="F256" s="2863"/>
      <c r="G256" s="335"/>
      <c r="H256" s="1418"/>
      <c r="I256" s="586"/>
      <c r="J256" s="506"/>
      <c r="K256" s="1418"/>
      <c r="L256" s="150"/>
      <c r="M256" s="277"/>
      <c r="N256" s="270"/>
      <c r="O256" s="1542"/>
      <c r="P256" s="1542"/>
      <c r="AH256" s="1549">
        <v>0</v>
      </c>
    </row>
    <row r="257" spans="1:34" s="2513" customFormat="1" ht="18.75" hidden="1" customHeight="1">
      <c r="A257" s="1697" t="s">
        <v>242</v>
      </c>
      <c r="B257" s="1697" t="s">
        <v>243</v>
      </c>
      <c r="C257" s="304"/>
      <c r="D257" s="2921"/>
      <c r="E257" s="2719"/>
      <c r="F257" s="2863" t="str">
        <f>INDEX(PT_DIFFERENTIATION_VTAR,MATCH(A257,PT_DIFFERENTIATION_VTAR_ID,0))</f>
        <v>Тариф на подвоз воды</v>
      </c>
      <c r="G257" s="2895" t="str">
        <f>INDEX(PT_DIFFERENTIATION_NTAR,MATCH(B257,PT_DIFFERENTIATION_NTAR_ID,0))</f>
        <v/>
      </c>
      <c r="H257" s="1777"/>
      <c r="I257" s="1656"/>
      <c r="J257" s="1690"/>
      <c r="K257" s="1695"/>
      <c r="L257" s="1777" t="s">
        <v>308</v>
      </c>
      <c r="M257" s="277"/>
      <c r="N257" s="270"/>
      <c r="O257" s="1542"/>
      <c r="P257" s="1542"/>
      <c r="AH257" s="1549">
        <v>0</v>
      </c>
    </row>
    <row r="258" spans="1:34" s="2513" customFormat="1" ht="18.75" hidden="1" customHeight="1">
      <c r="A258" s="1697"/>
      <c r="B258" s="1697"/>
      <c r="C258" s="304" t="s">
        <v>1147</v>
      </c>
      <c r="D258" s="2921"/>
      <c r="E258" s="2719"/>
      <c r="F258" s="2863"/>
      <c r="G258" s="2895"/>
      <c r="H258" s="1418"/>
      <c r="I258" s="586" t="s">
        <v>1146</v>
      </c>
      <c r="J258" s="506"/>
      <c r="K258" s="1418"/>
      <c r="L258" s="150"/>
      <c r="M258" s="277"/>
      <c r="N258" s="270"/>
      <c r="O258" s="1542"/>
      <c r="P258" s="1542"/>
      <c r="AH258" s="1549">
        <v>0</v>
      </c>
    </row>
    <row r="259" spans="1:34" s="2513" customFormat="1" ht="0.75" hidden="1" customHeight="1">
      <c r="A259" s="1697"/>
      <c r="B259" s="1697"/>
      <c r="C259" s="304" t="s">
        <v>1155</v>
      </c>
      <c r="D259" s="2921"/>
      <c r="E259" s="2719"/>
      <c r="F259" s="2863"/>
      <c r="G259" s="335"/>
      <c r="H259" s="1418"/>
      <c r="I259" s="586"/>
      <c r="J259" s="506"/>
      <c r="K259" s="1418"/>
      <c r="L259" s="150"/>
      <c r="M259" s="277"/>
      <c r="N259" s="270"/>
      <c r="O259" s="1542"/>
      <c r="P259" s="1542"/>
      <c r="AH259" s="1549">
        <v>0</v>
      </c>
    </row>
    <row r="260" spans="1:34" s="2513" customFormat="1" ht="18.75" hidden="1" customHeight="1">
      <c r="A260" s="1697" t="s">
        <v>247</v>
      </c>
      <c r="B260" s="1697" t="s">
        <v>248</v>
      </c>
      <c r="C260" s="304"/>
      <c r="D260" s="2921"/>
      <c r="E260" s="2719"/>
      <c r="F260" s="2863" t="str">
        <f>INDEX(PT_DIFFERENTIATION_VTAR,MATCH(A260,PT_DIFFERENTIATION_VTAR_ID,0))</f>
        <v>Тариф на подключение (технологическое присоединение) к централизованной системе холодного водоснабжения</v>
      </c>
      <c r="G260" s="2895" t="str">
        <f>INDEX(PT_DIFFERENTIATION_NTAR,MATCH(B260,PT_DIFFERENTIATION_NTAR_ID,0))</f>
        <v/>
      </c>
      <c r="H260" s="1777"/>
      <c r="I260" s="1656"/>
      <c r="J260" s="1690"/>
      <c r="K260" s="1695"/>
      <c r="L260" s="1777" t="s">
        <v>308</v>
      </c>
      <c r="M260" s="277"/>
      <c r="N260" s="270"/>
      <c r="O260" s="1542"/>
      <c r="P260" s="1542"/>
      <c r="AH260" s="1549">
        <v>0</v>
      </c>
    </row>
    <row r="261" spans="1:34" s="2513" customFormat="1" ht="18.75" hidden="1" customHeight="1">
      <c r="A261" s="1697"/>
      <c r="B261" s="1697"/>
      <c r="C261" s="304" t="s">
        <v>1147</v>
      </c>
      <c r="D261" s="2921"/>
      <c r="E261" s="2719"/>
      <c r="F261" s="2863"/>
      <c r="G261" s="2895"/>
      <c r="H261" s="1418"/>
      <c r="I261" s="586" t="s">
        <v>1146</v>
      </c>
      <c r="J261" s="506"/>
      <c r="K261" s="1418"/>
      <c r="L261" s="150"/>
      <c r="M261" s="277"/>
      <c r="N261" s="270"/>
      <c r="O261" s="1542"/>
      <c r="P261" s="1542"/>
      <c r="AH261" s="1549">
        <v>0</v>
      </c>
    </row>
    <row r="262" spans="1:34" s="2513" customFormat="1" ht="0.75" hidden="1" customHeight="1">
      <c r="A262" s="1697"/>
      <c r="B262" s="1697"/>
      <c r="C262" s="304" t="s">
        <v>1155</v>
      </c>
      <c r="D262" s="2921"/>
      <c r="E262" s="2719"/>
      <c r="F262" s="2863"/>
      <c r="G262" s="335"/>
      <c r="H262" s="1418"/>
      <c r="I262" s="586"/>
      <c r="J262" s="506"/>
      <c r="K262" s="1418"/>
      <c r="L262" s="150"/>
      <c r="M262" s="277"/>
      <c r="N262" s="270"/>
      <c r="O262" s="1542"/>
      <c r="P262" s="1542"/>
      <c r="AH262" s="1549">
        <v>0</v>
      </c>
    </row>
    <row r="263" spans="1:34" s="2513" customFormat="1" ht="18.75" hidden="1" customHeight="1">
      <c r="A263" s="1697" t="s">
        <v>252</v>
      </c>
      <c r="B263" s="1697" t="s">
        <v>253</v>
      </c>
      <c r="C263" s="304"/>
      <c r="D263" s="2921"/>
      <c r="E263" s="2719"/>
      <c r="F263" s="2863" t="str">
        <f>INDEX(PT_DIFFERENTIATION_VTAR,MATCH(A263,PT_DIFFERENTIATION_VTAR_ID,0))</f>
        <v>Тариф на горячую воду (горячее водоснабжение)</v>
      </c>
      <c r="G263" s="2895" t="str">
        <f>INDEX(PT_DIFFERENTIATION_NTAR,MATCH(B263,PT_DIFFERENTIATION_NTAR_ID,0))</f>
        <v/>
      </c>
      <c r="H263" s="1777"/>
      <c r="I263" s="1656"/>
      <c r="J263" s="1690"/>
      <c r="K263" s="1695"/>
      <c r="L263" s="1777" t="s">
        <v>308</v>
      </c>
      <c r="M263" s="277"/>
      <c r="N263" s="270"/>
      <c r="O263" s="1542"/>
      <c r="P263" s="1542"/>
      <c r="AH263" s="1549">
        <v>0</v>
      </c>
    </row>
    <row r="264" spans="1:34" s="2513" customFormat="1" ht="18.75" hidden="1" customHeight="1">
      <c r="A264" s="1697"/>
      <c r="B264" s="1697"/>
      <c r="C264" s="304" t="s">
        <v>1147</v>
      </c>
      <c r="D264" s="2921"/>
      <c r="E264" s="2719"/>
      <c r="F264" s="2863"/>
      <c r="G264" s="2895"/>
      <c r="H264" s="1418"/>
      <c r="I264" s="586" t="s">
        <v>1146</v>
      </c>
      <c r="J264" s="506"/>
      <c r="K264" s="1418"/>
      <c r="L264" s="150"/>
      <c r="M264" s="277"/>
      <c r="N264" s="270"/>
      <c r="O264" s="1542"/>
      <c r="P264" s="1542"/>
      <c r="AH264" s="1549">
        <v>0</v>
      </c>
    </row>
    <row r="265" spans="1:34" s="2513" customFormat="1" ht="0.75" hidden="1" customHeight="1">
      <c r="A265" s="1697"/>
      <c r="B265" s="1697"/>
      <c r="C265" s="304" t="s">
        <v>1155</v>
      </c>
      <c r="D265" s="2921"/>
      <c r="E265" s="2719"/>
      <c r="F265" s="2863"/>
      <c r="G265" s="335"/>
      <c r="H265" s="1418"/>
      <c r="I265" s="586"/>
      <c r="J265" s="506"/>
      <c r="K265" s="1418"/>
      <c r="L265" s="150"/>
      <c r="M265" s="277"/>
      <c r="N265" s="270"/>
      <c r="O265" s="1542"/>
      <c r="P265" s="1542"/>
      <c r="AH265" s="1549">
        <v>0</v>
      </c>
    </row>
    <row r="266" spans="1:34" s="2513" customFormat="1" ht="18.75" hidden="1" customHeight="1">
      <c r="A266" s="1697" t="s">
        <v>257</v>
      </c>
      <c r="B266" s="1697" t="s">
        <v>258</v>
      </c>
      <c r="C266" s="304"/>
      <c r="D266" s="2921"/>
      <c r="E266" s="2719"/>
      <c r="F266" s="2863" t="str">
        <f>INDEX(PT_DIFFERENTIATION_VTAR,MATCH(A266,PT_DIFFERENTIATION_VTAR_ID,0))</f>
        <v>Тариф на транспортировку горячей воды</v>
      </c>
      <c r="G266" s="2895" t="str">
        <f>INDEX(PT_DIFFERENTIATION_NTAR,MATCH(B266,PT_DIFFERENTIATION_NTAR_ID,0))</f>
        <v/>
      </c>
      <c r="H266" s="1777"/>
      <c r="I266" s="1656"/>
      <c r="J266" s="1690"/>
      <c r="K266" s="1695"/>
      <c r="L266" s="1777" t="s">
        <v>308</v>
      </c>
      <c r="M266" s="277"/>
      <c r="N266" s="270"/>
      <c r="O266" s="1542"/>
      <c r="P266" s="1542"/>
      <c r="AH266" s="1549">
        <v>0</v>
      </c>
    </row>
    <row r="267" spans="1:34" s="2513" customFormat="1" ht="18.75" hidden="1" customHeight="1">
      <c r="A267" s="1697"/>
      <c r="B267" s="1697"/>
      <c r="C267" s="304" t="s">
        <v>1147</v>
      </c>
      <c r="D267" s="2921"/>
      <c r="E267" s="2719"/>
      <c r="F267" s="2863"/>
      <c r="G267" s="2895"/>
      <c r="H267" s="1418"/>
      <c r="I267" s="586" t="s">
        <v>1146</v>
      </c>
      <c r="J267" s="506"/>
      <c r="K267" s="1418"/>
      <c r="L267" s="150"/>
      <c r="M267" s="277"/>
      <c r="N267" s="270"/>
      <c r="O267" s="1542"/>
      <c r="P267" s="1542"/>
      <c r="AH267" s="1549">
        <v>0</v>
      </c>
    </row>
    <row r="268" spans="1:34" s="2513" customFormat="1" ht="0.75" hidden="1" customHeight="1">
      <c r="A268" s="1697"/>
      <c r="B268" s="1697"/>
      <c r="C268" s="304" t="s">
        <v>1155</v>
      </c>
      <c r="D268" s="2921"/>
      <c r="E268" s="2719"/>
      <c r="F268" s="2863"/>
      <c r="G268" s="335"/>
      <c r="H268" s="1418"/>
      <c r="I268" s="586"/>
      <c r="J268" s="506"/>
      <c r="K268" s="1418"/>
      <c r="L268" s="150"/>
      <c r="M268" s="277"/>
      <c r="N268" s="270"/>
      <c r="O268" s="1542"/>
      <c r="P268" s="1542"/>
      <c r="AH268" s="1549">
        <v>0</v>
      </c>
    </row>
    <row r="269" spans="1:34" s="2513" customFormat="1" ht="18.75" hidden="1" customHeight="1">
      <c r="A269" s="1697" t="s">
        <v>262</v>
      </c>
      <c r="B269" s="1697" t="s">
        <v>263</v>
      </c>
      <c r="C269" s="304"/>
      <c r="D269" s="2921"/>
      <c r="E269" s="2719"/>
      <c r="F269" s="2863" t="str">
        <f>INDEX(PT_DIFFERENTIATION_VTAR,MATCH(A269,PT_DIFFERENTIATION_VTAR_ID,0))</f>
        <v>Тариф на подключение (технологическое присоединение) к централизованной системе горячего водоснабжения</v>
      </c>
      <c r="G269" s="2895" t="str">
        <f>INDEX(PT_DIFFERENTIATION_NTAR,MATCH(B269,PT_DIFFERENTIATION_NTAR_ID,0))</f>
        <v/>
      </c>
      <c r="H269" s="1777"/>
      <c r="I269" s="1656"/>
      <c r="J269" s="1690"/>
      <c r="K269" s="1695"/>
      <c r="L269" s="1777" t="s">
        <v>308</v>
      </c>
      <c r="M269" s="277"/>
      <c r="N269" s="270"/>
      <c r="O269" s="1542"/>
      <c r="P269" s="1542"/>
      <c r="AH269" s="1549">
        <v>0</v>
      </c>
    </row>
    <row r="270" spans="1:34" s="2513" customFormat="1" ht="18.75" hidden="1" customHeight="1">
      <c r="A270" s="1697"/>
      <c r="B270" s="1697"/>
      <c r="C270" s="304" t="s">
        <v>1147</v>
      </c>
      <c r="D270" s="2921"/>
      <c r="E270" s="2719"/>
      <c r="F270" s="2863"/>
      <c r="G270" s="2895"/>
      <c r="H270" s="1418"/>
      <c r="I270" s="586" t="s">
        <v>1146</v>
      </c>
      <c r="J270" s="506"/>
      <c r="K270" s="1418"/>
      <c r="L270" s="150"/>
      <c r="M270" s="277"/>
      <c r="N270" s="270"/>
      <c r="O270" s="1542"/>
      <c r="P270" s="1542"/>
      <c r="AH270" s="1549">
        <v>0</v>
      </c>
    </row>
    <row r="271" spans="1:34" s="2513" customFormat="1" ht="0.75" hidden="1" customHeight="1">
      <c r="A271" s="1697"/>
      <c r="B271" s="1697"/>
      <c r="C271" s="304" t="s">
        <v>1155</v>
      </c>
      <c r="D271" s="2921"/>
      <c r="E271" s="2719"/>
      <c r="F271" s="2863"/>
      <c r="G271" s="335"/>
      <c r="H271" s="1418"/>
      <c r="I271" s="586"/>
      <c r="J271" s="506"/>
      <c r="K271" s="1418"/>
      <c r="L271" s="150"/>
      <c r="M271" s="277"/>
      <c r="N271" s="270"/>
      <c r="O271" s="1542"/>
      <c r="P271" s="1542"/>
      <c r="AH271" s="1549">
        <v>0</v>
      </c>
    </row>
    <row r="272" spans="1:34" s="2513" customFormat="1" ht="18.75" hidden="1" customHeight="1">
      <c r="A272" s="1697" t="s">
        <v>267</v>
      </c>
      <c r="B272" s="1697" t="s">
        <v>268</v>
      </c>
      <c r="C272" s="304"/>
      <c r="D272" s="2921"/>
      <c r="E272" s="2719"/>
      <c r="F272" s="2863" t="str">
        <f>INDEX(PT_DIFFERENTIATION_VTAR,MATCH(A272,PT_DIFFERENTIATION_VTAR_ID,0))</f>
        <v>Тариф на водоотведение</v>
      </c>
      <c r="G272" s="2895" t="str">
        <f>INDEX(PT_DIFFERENTIATION_NTAR,MATCH(B272,PT_DIFFERENTIATION_NTAR_ID,0))</f>
        <v/>
      </c>
      <c r="H272" s="1777"/>
      <c r="I272" s="1656"/>
      <c r="J272" s="1690"/>
      <c r="K272" s="1695"/>
      <c r="L272" s="1777" t="s">
        <v>308</v>
      </c>
      <c r="M272" s="277"/>
      <c r="N272" s="270"/>
      <c r="O272" s="1542"/>
      <c r="P272" s="1542"/>
      <c r="AH272" s="1549">
        <v>0</v>
      </c>
    </row>
    <row r="273" spans="1:34" s="2513" customFormat="1" ht="18.75" hidden="1" customHeight="1">
      <c r="A273" s="1697"/>
      <c r="B273" s="1697"/>
      <c r="C273" s="304" t="s">
        <v>1147</v>
      </c>
      <c r="D273" s="2921"/>
      <c r="E273" s="2719"/>
      <c r="F273" s="2863"/>
      <c r="G273" s="2895"/>
      <c r="H273" s="1418"/>
      <c r="I273" s="586" t="s">
        <v>1146</v>
      </c>
      <c r="J273" s="506"/>
      <c r="K273" s="1418"/>
      <c r="L273" s="150"/>
      <c r="M273" s="277"/>
      <c r="N273" s="270"/>
      <c r="O273" s="1542"/>
      <c r="P273" s="1542"/>
      <c r="AH273" s="1549">
        <v>0</v>
      </c>
    </row>
    <row r="274" spans="1:34" s="2513" customFormat="1" ht="0.75" hidden="1" customHeight="1">
      <c r="A274" s="1697"/>
      <c r="B274" s="1697"/>
      <c r="C274" s="304" t="s">
        <v>1155</v>
      </c>
      <c r="D274" s="2921"/>
      <c r="E274" s="2719"/>
      <c r="F274" s="2863"/>
      <c r="G274" s="335"/>
      <c r="H274" s="1418"/>
      <c r="I274" s="586"/>
      <c r="J274" s="506"/>
      <c r="K274" s="1418"/>
      <c r="L274" s="150"/>
      <c r="M274" s="277"/>
      <c r="N274" s="270"/>
      <c r="O274" s="1542"/>
      <c r="P274" s="1542"/>
      <c r="AH274" s="1549">
        <v>0</v>
      </c>
    </row>
    <row r="275" spans="1:34" s="2513" customFormat="1" ht="18.75" hidden="1" customHeight="1">
      <c r="A275" s="1697" t="s">
        <v>272</v>
      </c>
      <c r="B275" s="1697" t="s">
        <v>273</v>
      </c>
      <c r="C275" s="304"/>
      <c r="D275" s="2921"/>
      <c r="E275" s="2719"/>
      <c r="F275" s="2863" t="str">
        <f>INDEX(PT_DIFFERENTIATION_VTAR,MATCH(A275,PT_DIFFERENTIATION_VTAR_ID,0))</f>
        <v>Тариф на транспортировку сточных вод</v>
      </c>
      <c r="G275" s="2895" t="str">
        <f>INDEX(PT_DIFFERENTIATION_NTAR,MATCH(B275,PT_DIFFERENTIATION_NTAR_ID,0))</f>
        <v/>
      </c>
      <c r="H275" s="1777"/>
      <c r="I275" s="1656"/>
      <c r="J275" s="1690"/>
      <c r="K275" s="1695"/>
      <c r="L275" s="1777" t="s">
        <v>308</v>
      </c>
      <c r="M275" s="277"/>
      <c r="N275" s="270"/>
      <c r="O275" s="1542"/>
      <c r="P275" s="1542"/>
      <c r="AH275" s="1549">
        <v>0</v>
      </c>
    </row>
    <row r="276" spans="1:34" s="2513" customFormat="1" ht="18.75" hidden="1" customHeight="1">
      <c r="A276" s="1697"/>
      <c r="B276" s="1697"/>
      <c r="C276" s="304" t="s">
        <v>1147</v>
      </c>
      <c r="D276" s="2921"/>
      <c r="E276" s="2719"/>
      <c r="F276" s="2863"/>
      <c r="G276" s="2895"/>
      <c r="H276" s="1418"/>
      <c r="I276" s="586" t="s">
        <v>1146</v>
      </c>
      <c r="J276" s="506"/>
      <c r="K276" s="1418"/>
      <c r="L276" s="150"/>
      <c r="M276" s="277"/>
      <c r="N276" s="270"/>
      <c r="O276" s="1542"/>
      <c r="P276" s="1542"/>
      <c r="AH276" s="1549">
        <v>0</v>
      </c>
    </row>
    <row r="277" spans="1:34" s="2513" customFormat="1" ht="0.75" hidden="1" customHeight="1">
      <c r="A277" s="1697"/>
      <c r="B277" s="1697"/>
      <c r="C277" s="304" t="s">
        <v>1155</v>
      </c>
      <c r="D277" s="2921"/>
      <c r="E277" s="2719"/>
      <c r="F277" s="2863"/>
      <c r="G277" s="335"/>
      <c r="H277" s="1418"/>
      <c r="I277" s="586"/>
      <c r="J277" s="506"/>
      <c r="K277" s="1418"/>
      <c r="L277" s="150"/>
      <c r="M277" s="277"/>
      <c r="N277" s="270"/>
      <c r="O277" s="1542"/>
      <c r="P277" s="1542"/>
      <c r="AH277" s="1549">
        <v>0</v>
      </c>
    </row>
    <row r="278" spans="1:34" s="2513" customFormat="1" ht="18.75" hidden="1" customHeight="1">
      <c r="A278" s="1697" t="s">
        <v>277</v>
      </c>
      <c r="B278" s="1697" t="s">
        <v>278</v>
      </c>
      <c r="C278" s="304"/>
      <c r="D278" s="2921"/>
      <c r="E278" s="2719"/>
      <c r="F278" s="2863" t="str">
        <f>INDEX(PT_DIFFERENTIATION_VTAR,MATCH(A278,PT_DIFFERENTIATION_VTAR_ID,0))</f>
        <v>Тариф на подключение (технологическое присоединение) к централизованной системе водоотведения</v>
      </c>
      <c r="G278" s="2895" t="str">
        <f>INDEX(PT_DIFFERENTIATION_NTAR,MATCH(B278,PT_DIFFERENTIATION_NTAR_ID,0))</f>
        <v/>
      </c>
      <c r="H278" s="1777"/>
      <c r="I278" s="1656"/>
      <c r="J278" s="1690"/>
      <c r="K278" s="1695"/>
      <c r="L278" s="1777" t="s">
        <v>308</v>
      </c>
      <c r="M278" s="277"/>
      <c r="N278" s="270"/>
      <c r="O278" s="1542"/>
      <c r="P278" s="1542"/>
      <c r="AH278" s="1549">
        <v>0</v>
      </c>
    </row>
    <row r="279" spans="1:34" s="2513" customFormat="1" ht="18.75" hidden="1" customHeight="1">
      <c r="A279" s="1697"/>
      <c r="B279" s="1697"/>
      <c r="C279" s="304" t="s">
        <v>1147</v>
      </c>
      <c r="D279" s="2921"/>
      <c r="E279" s="2719"/>
      <c r="F279" s="2863"/>
      <c r="G279" s="2895"/>
      <c r="H279" s="1418"/>
      <c r="I279" s="586" t="s">
        <v>1146</v>
      </c>
      <c r="J279" s="506"/>
      <c r="K279" s="1418"/>
      <c r="L279" s="150"/>
      <c r="M279" s="277"/>
      <c r="N279" s="270"/>
      <c r="O279" s="1542"/>
      <c r="P279" s="1542"/>
      <c r="AH279" s="1549">
        <v>0</v>
      </c>
    </row>
    <row r="280" spans="1:34" s="2513" customFormat="1" ht="1.1499999999999999" customHeight="1">
      <c r="A280" s="1697"/>
      <c r="B280" s="1697"/>
      <c r="C280" s="304" t="s">
        <v>1155</v>
      </c>
      <c r="D280" s="2921"/>
      <c r="E280" s="2719"/>
      <c r="F280" s="2863"/>
      <c r="G280" s="335"/>
      <c r="H280" s="1418"/>
      <c r="I280" s="586"/>
      <c r="J280" s="506"/>
      <c r="K280" s="1418"/>
      <c r="L280" s="150"/>
      <c r="M280" s="277"/>
      <c r="N280" s="270"/>
      <c r="O280" s="1542"/>
      <c r="P280" s="1542"/>
      <c r="AH280" s="1549">
        <v>1</v>
      </c>
    </row>
    <row r="281" spans="1:34" ht="27.4" customHeight="1">
      <c r="A281" s="1697"/>
      <c r="B281" s="1697"/>
      <c r="D281" s="311"/>
      <c r="E281" s="84" t="s">
        <v>91</v>
      </c>
      <c r="F281" s="291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81" s="2919"/>
      <c r="H281" s="2919"/>
      <c r="I281" s="2919"/>
      <c r="J281" s="2919"/>
      <c r="K281" s="2919"/>
      <c r="L281" s="2919"/>
      <c r="M281" s="233"/>
      <c r="N281" s="270"/>
      <c r="AH281" s="309">
        <v>26</v>
      </c>
    </row>
    <row r="282" spans="1:34" s="2513" customFormat="1" ht="60.75" customHeight="1">
      <c r="A282" s="1697" t="s">
        <v>155</v>
      </c>
      <c r="B282" s="1697" t="s">
        <v>156</v>
      </c>
      <c r="C282" s="304"/>
      <c r="D282" s="2921"/>
      <c r="E282" s="2719"/>
      <c r="F282" s="2863" t="str">
        <f>INDEX(PT_DIFFERENTIATION_VTAR,MATCH(A282,PT_DIFFERENTIATION_VTAR_ID,0))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2" s="2895" t="str">
        <f>INDEX(PT_DIFFERENTIATION_NTAR,MATCH(B282,PT_DIFFERENTIATION_NTAR_ID,0))</f>
        <v>Долгосрочный тариф на тепловую энергию для потребителей ООО "Ноябрьская ПГЭ" на 2025 - 2029 годы</v>
      </c>
      <c r="H282" s="1777"/>
      <c r="I282" s="2499">
        <v>45658</v>
      </c>
      <c r="J282" s="2500">
        <v>47483</v>
      </c>
      <c r="K282" s="2580">
        <v>31398.82</v>
      </c>
      <c r="L282" s="1777" t="s">
        <v>308</v>
      </c>
      <c r="M282" s="26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2" s="270"/>
      <c r="O282" s="1542"/>
      <c r="P282" s="1542"/>
      <c r="AH282" s="1549">
        <v>0</v>
      </c>
    </row>
    <row r="283" spans="1:34" s="2513" customFormat="1" ht="18.75" customHeight="1">
      <c r="A283" s="1697"/>
      <c r="B283" s="1697"/>
      <c r="C283" s="304" t="s">
        <v>1147</v>
      </c>
      <c r="D283" s="2921"/>
      <c r="E283" s="2719"/>
      <c r="F283" s="2863"/>
      <c r="G283" s="2895"/>
      <c r="H283" s="1418"/>
      <c r="I283" s="586" t="s">
        <v>1146</v>
      </c>
      <c r="J283" s="506"/>
      <c r="K283" s="1418"/>
      <c r="L283" s="150"/>
      <c r="M283" s="2693"/>
      <c r="N283" s="270"/>
      <c r="O283" s="1542"/>
      <c r="P283" s="1542"/>
      <c r="AH283" s="1549">
        <v>0</v>
      </c>
    </row>
    <row r="284" spans="1:34" s="2513" customFormat="1" ht="0.75" customHeight="1">
      <c r="A284" s="1697"/>
      <c r="B284" s="1697"/>
      <c r="C284" s="304" t="s">
        <v>1155</v>
      </c>
      <c r="D284" s="2921"/>
      <c r="E284" s="2719"/>
      <c r="F284" s="2863"/>
      <c r="G284" s="335"/>
      <c r="H284" s="1418"/>
      <c r="I284" s="586"/>
      <c r="J284" s="506"/>
      <c r="K284" s="1418"/>
      <c r="L284" s="150"/>
      <c r="M284" s="2693"/>
      <c r="N284" s="270"/>
      <c r="O284" s="1542"/>
      <c r="P284" s="1542"/>
      <c r="AH284" s="1549">
        <v>0</v>
      </c>
    </row>
    <row r="285" spans="1:34" s="2513" customFormat="1" ht="45" hidden="1" customHeight="1">
      <c r="A285" s="1697" t="s">
        <v>165</v>
      </c>
      <c r="B285" s="1697" t="s">
        <v>166</v>
      </c>
      <c r="C285" s="304"/>
      <c r="D285" s="2921"/>
      <c r="E285" s="2719"/>
      <c r="F285" s="2863" t="str">
        <f>INDEX(PT_DIFFERENTIATION_VTAR,MATCH(A285,PT_DIFFERENTIATION_VTAR_ID,0))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85" s="2895" t="str">
        <f>INDEX(PT_DIFFERENTIATION_NTAR,MATCH(B285,PT_DIFFERENTIATION_NTAR_ID,0))</f>
        <v/>
      </c>
      <c r="H285" s="1777"/>
      <c r="I285" s="1656"/>
      <c r="J285" s="1690"/>
      <c r="K285" s="1695"/>
      <c r="L285" s="1777" t="s">
        <v>308</v>
      </c>
      <c r="M285" s="2694"/>
      <c r="N285" s="270"/>
      <c r="O285" s="1542"/>
      <c r="P285" s="1542"/>
      <c r="AH285" s="1549">
        <v>0</v>
      </c>
    </row>
    <row r="286" spans="1:34" s="2513" customFormat="1" ht="18.75" hidden="1" customHeight="1">
      <c r="A286" s="1697"/>
      <c r="B286" s="1697"/>
      <c r="C286" s="304" t="s">
        <v>1147</v>
      </c>
      <c r="D286" s="2921"/>
      <c r="E286" s="2719"/>
      <c r="F286" s="2863"/>
      <c r="G286" s="2895"/>
      <c r="H286" s="1418"/>
      <c r="I286" s="586" t="s">
        <v>1146</v>
      </c>
      <c r="J286" s="506"/>
      <c r="K286" s="1418"/>
      <c r="L286" s="150"/>
      <c r="M286" s="1776"/>
      <c r="N286" s="270"/>
      <c r="O286" s="1542"/>
      <c r="P286" s="1542"/>
      <c r="AH286" s="1549">
        <v>0</v>
      </c>
    </row>
    <row r="287" spans="1:34" s="2513" customFormat="1" ht="0.75" hidden="1" customHeight="1">
      <c r="A287" s="1697"/>
      <c r="B287" s="1697"/>
      <c r="C287" s="304" t="s">
        <v>1155</v>
      </c>
      <c r="D287" s="2921"/>
      <c r="E287" s="2719"/>
      <c r="F287" s="2863"/>
      <c r="G287" s="335"/>
      <c r="H287" s="1418"/>
      <c r="I287" s="586"/>
      <c r="J287" s="506"/>
      <c r="K287" s="1418"/>
      <c r="L287" s="150"/>
      <c r="M287" s="277"/>
      <c r="N287" s="270"/>
      <c r="O287" s="1542"/>
      <c r="P287" s="1542"/>
      <c r="AH287" s="1549">
        <v>0</v>
      </c>
    </row>
    <row r="288" spans="1:34" s="2513" customFormat="1" ht="45" hidden="1" customHeight="1">
      <c r="A288" s="1697" t="s">
        <v>171</v>
      </c>
      <c r="B288" s="1697" t="s">
        <v>172</v>
      </c>
      <c r="C288" s="304"/>
      <c r="D288" s="2921"/>
      <c r="E288" s="2719"/>
      <c r="F288" s="2863" t="str">
        <f>INDEX(PT_DIFFERENTIATION_VTAR,MATCH(A288,PT_DIFFERENTIATION_VTAR_ID,0))</f>
        <v>Тарифы на теплоноситель, поставляемый теплоснабжающими организациями потребителям, другим теплоснабжающим организациям</v>
      </c>
      <c r="G288" s="2895" t="str">
        <f>INDEX(PT_DIFFERENTIATION_NTAR,MATCH(B288,PT_DIFFERENTIATION_NTAR_ID,0))</f>
        <v/>
      </c>
      <c r="H288" s="1777"/>
      <c r="I288" s="1656"/>
      <c r="J288" s="1690"/>
      <c r="K288" s="1695"/>
      <c r="L288" s="1777" t="s">
        <v>308</v>
      </c>
      <c r="M288" s="277"/>
      <c r="N288" s="270"/>
      <c r="O288" s="1542"/>
      <c r="P288" s="1542"/>
      <c r="AH288" s="1549">
        <v>0</v>
      </c>
    </row>
    <row r="289" spans="1:34" s="2513" customFormat="1" ht="18.75" hidden="1" customHeight="1">
      <c r="A289" s="1697"/>
      <c r="B289" s="1697"/>
      <c r="C289" s="304" t="s">
        <v>1147</v>
      </c>
      <c r="D289" s="2921"/>
      <c r="E289" s="2719"/>
      <c r="F289" s="2863"/>
      <c r="G289" s="2895"/>
      <c r="H289" s="1418"/>
      <c r="I289" s="586" t="s">
        <v>1146</v>
      </c>
      <c r="J289" s="506"/>
      <c r="K289" s="1418"/>
      <c r="L289" s="150"/>
      <c r="M289" s="277"/>
      <c r="N289" s="270"/>
      <c r="O289" s="1542"/>
      <c r="P289" s="1542"/>
      <c r="AH289" s="1549">
        <v>0</v>
      </c>
    </row>
    <row r="290" spans="1:34" s="2513" customFormat="1" ht="0.75" hidden="1" customHeight="1">
      <c r="A290" s="1697"/>
      <c r="B290" s="1697"/>
      <c r="C290" s="304" t="s">
        <v>1155</v>
      </c>
      <c r="D290" s="2921"/>
      <c r="E290" s="2719"/>
      <c r="F290" s="2863"/>
      <c r="G290" s="335"/>
      <c r="H290" s="1418"/>
      <c r="I290" s="586"/>
      <c r="J290" s="506"/>
      <c r="K290" s="1418"/>
      <c r="L290" s="150"/>
      <c r="M290" s="277"/>
      <c r="N290" s="270"/>
      <c r="O290" s="1542"/>
      <c r="P290" s="1542"/>
      <c r="AH290" s="1549">
        <v>0</v>
      </c>
    </row>
    <row r="291" spans="1:34" s="2513" customFormat="1" ht="45" hidden="1" customHeight="1">
      <c r="A291" s="1697" t="s">
        <v>177</v>
      </c>
      <c r="B291" s="1697" t="s">
        <v>178</v>
      </c>
      <c r="C291" s="304"/>
      <c r="D291" s="2921"/>
      <c r="E291" s="2719"/>
      <c r="F291" s="2863" t="str">
        <f>INDEX(PT_DIFFERENTIATION_VTAR,MATCH(A291,PT_DIFFERENTIATION_VTAR_ID,0))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1" s="2895" t="str">
        <f>INDEX(PT_DIFFERENTIATION_NTAR,MATCH(B291,PT_DIFFERENTIATION_NTAR_ID,0))</f>
        <v/>
      </c>
      <c r="H291" s="1777"/>
      <c r="I291" s="1656"/>
      <c r="J291" s="1690"/>
      <c r="K291" s="1695"/>
      <c r="L291" s="1777" t="s">
        <v>308</v>
      </c>
      <c r="M291" s="277"/>
      <c r="N291" s="270"/>
      <c r="O291" s="1542"/>
      <c r="P291" s="1542"/>
      <c r="AH291" s="1549">
        <v>0</v>
      </c>
    </row>
    <row r="292" spans="1:34" s="2513" customFormat="1" ht="18.75" hidden="1" customHeight="1">
      <c r="A292" s="1697"/>
      <c r="B292" s="1697"/>
      <c r="C292" s="304" t="s">
        <v>1147</v>
      </c>
      <c r="D292" s="2921"/>
      <c r="E292" s="2719"/>
      <c r="F292" s="2863"/>
      <c r="G292" s="2895"/>
      <c r="H292" s="1418"/>
      <c r="I292" s="586" t="s">
        <v>1146</v>
      </c>
      <c r="J292" s="506"/>
      <c r="K292" s="1418"/>
      <c r="L292" s="150"/>
      <c r="M292" s="277"/>
      <c r="N292" s="270"/>
      <c r="O292" s="1542"/>
      <c r="P292" s="1542"/>
      <c r="AH292" s="1549">
        <v>0</v>
      </c>
    </row>
    <row r="293" spans="1:34" s="2513" customFormat="1" ht="0.75" hidden="1" customHeight="1">
      <c r="A293" s="1697"/>
      <c r="B293" s="1697"/>
      <c r="C293" s="304" t="s">
        <v>1155</v>
      </c>
      <c r="D293" s="2921"/>
      <c r="E293" s="2719"/>
      <c r="F293" s="2863"/>
      <c r="G293" s="335"/>
      <c r="H293" s="1418"/>
      <c r="I293" s="586"/>
      <c r="J293" s="506"/>
      <c r="K293" s="1418"/>
      <c r="L293" s="150"/>
      <c r="M293" s="277"/>
      <c r="N293" s="270"/>
      <c r="O293" s="1542"/>
      <c r="P293" s="1542"/>
      <c r="AH293" s="1549">
        <v>0</v>
      </c>
    </row>
    <row r="294" spans="1:34" s="2513" customFormat="1" ht="18.75" hidden="1" customHeight="1">
      <c r="A294" s="1697" t="s">
        <v>183</v>
      </c>
      <c r="B294" s="1697" t="s">
        <v>184</v>
      </c>
      <c r="C294" s="304"/>
      <c r="D294" s="2921"/>
      <c r="E294" s="2719"/>
      <c r="F294" s="2863" t="str">
        <f>INDEX(PT_DIFFERENTIATION_VTAR,MATCH(A294,PT_DIFFERENTIATION_VTAR_ID,0))</f>
        <v>Тарифы на услуги по передаче тепловой энергии</v>
      </c>
      <c r="G294" s="2895" t="str">
        <f>INDEX(PT_DIFFERENTIATION_NTAR,MATCH(B294,PT_DIFFERENTIATION_NTAR_ID,0))</f>
        <v/>
      </c>
      <c r="H294" s="1777"/>
      <c r="I294" s="1656"/>
      <c r="J294" s="1690"/>
      <c r="K294" s="1695"/>
      <c r="L294" s="1777" t="s">
        <v>308</v>
      </c>
      <c r="M294" s="277"/>
      <c r="N294" s="270"/>
      <c r="O294" s="1542"/>
      <c r="P294" s="1542"/>
      <c r="AH294" s="1549">
        <v>0</v>
      </c>
    </row>
    <row r="295" spans="1:34" s="2513" customFormat="1" ht="18.75" hidden="1" customHeight="1">
      <c r="A295" s="1697"/>
      <c r="B295" s="1697"/>
      <c r="C295" s="304" t="s">
        <v>1147</v>
      </c>
      <c r="D295" s="2921"/>
      <c r="E295" s="2719"/>
      <c r="F295" s="2863"/>
      <c r="G295" s="2895"/>
      <c r="H295" s="1418"/>
      <c r="I295" s="586" t="s">
        <v>1146</v>
      </c>
      <c r="J295" s="506"/>
      <c r="K295" s="1418"/>
      <c r="L295" s="150"/>
      <c r="M295" s="277"/>
      <c r="N295" s="270"/>
      <c r="O295" s="1542"/>
      <c r="P295" s="1542"/>
      <c r="AH295" s="1549">
        <v>0</v>
      </c>
    </row>
    <row r="296" spans="1:34" s="2513" customFormat="1" ht="0.75" hidden="1" customHeight="1">
      <c r="A296" s="1697"/>
      <c r="B296" s="1697"/>
      <c r="C296" s="304" t="s">
        <v>1155</v>
      </c>
      <c r="D296" s="2921"/>
      <c r="E296" s="2719"/>
      <c r="F296" s="2863"/>
      <c r="G296" s="335"/>
      <c r="H296" s="1418"/>
      <c r="I296" s="586"/>
      <c r="J296" s="506"/>
      <c r="K296" s="1418"/>
      <c r="L296" s="150"/>
      <c r="M296" s="277"/>
      <c r="N296" s="270"/>
      <c r="O296" s="1542"/>
      <c r="P296" s="1542"/>
      <c r="AH296" s="1549">
        <v>0</v>
      </c>
    </row>
    <row r="297" spans="1:34" s="2513" customFormat="1" ht="18.75" hidden="1" customHeight="1">
      <c r="A297" s="1697" t="s">
        <v>189</v>
      </c>
      <c r="B297" s="1697" t="s">
        <v>190</v>
      </c>
      <c r="C297" s="304"/>
      <c r="D297" s="2921"/>
      <c r="E297" s="2719"/>
      <c r="F297" s="2863" t="str">
        <f>INDEX(PT_DIFFERENTIATION_VTAR,MATCH(A297,PT_DIFFERENTIATION_VTAR_ID,0))</f>
        <v>Тарифы на услуги по передаче теплоносителя</v>
      </c>
      <c r="G297" s="2895" t="str">
        <f>INDEX(PT_DIFFERENTIATION_NTAR,MATCH(B297,PT_DIFFERENTIATION_NTAR_ID,0))</f>
        <v/>
      </c>
      <c r="H297" s="1777"/>
      <c r="I297" s="1656"/>
      <c r="J297" s="1690"/>
      <c r="K297" s="1695"/>
      <c r="L297" s="1777" t="s">
        <v>308</v>
      </c>
      <c r="M297" s="277"/>
      <c r="N297" s="270"/>
      <c r="O297" s="1542"/>
      <c r="P297" s="1542"/>
      <c r="AH297" s="1549">
        <v>0</v>
      </c>
    </row>
    <row r="298" spans="1:34" s="2513" customFormat="1" ht="18.75" hidden="1" customHeight="1">
      <c r="A298" s="1697"/>
      <c r="B298" s="1697"/>
      <c r="C298" s="304" t="s">
        <v>1147</v>
      </c>
      <c r="D298" s="2921"/>
      <c r="E298" s="2719"/>
      <c r="F298" s="2863"/>
      <c r="G298" s="2895"/>
      <c r="H298" s="1418"/>
      <c r="I298" s="586" t="s">
        <v>1146</v>
      </c>
      <c r="J298" s="506"/>
      <c r="K298" s="1418"/>
      <c r="L298" s="150"/>
      <c r="M298" s="277"/>
      <c r="N298" s="270"/>
      <c r="O298" s="1542"/>
      <c r="P298" s="1542"/>
      <c r="AH298" s="1549">
        <v>0</v>
      </c>
    </row>
    <row r="299" spans="1:34" s="2513" customFormat="1" ht="0.75" hidden="1" customHeight="1">
      <c r="A299" s="1697"/>
      <c r="B299" s="1697"/>
      <c r="C299" s="304" t="s">
        <v>1155</v>
      </c>
      <c r="D299" s="2921"/>
      <c r="E299" s="2719"/>
      <c r="F299" s="2863"/>
      <c r="G299" s="335"/>
      <c r="H299" s="1418"/>
      <c r="I299" s="586"/>
      <c r="J299" s="506"/>
      <c r="K299" s="1418"/>
      <c r="L299" s="150"/>
      <c r="M299" s="277"/>
      <c r="N299" s="270"/>
      <c r="O299" s="1542"/>
      <c r="P299" s="1542"/>
      <c r="AH299" s="1549">
        <v>0</v>
      </c>
    </row>
    <row r="300" spans="1:34" s="2513" customFormat="1" ht="18.75" hidden="1" customHeight="1">
      <c r="A300" s="1697" t="s">
        <v>195</v>
      </c>
      <c r="B300" s="1697" t="s">
        <v>196</v>
      </c>
      <c r="C300" s="304"/>
      <c r="D300" s="2921"/>
      <c r="E300" s="2719"/>
      <c r="F300" s="2863" t="str">
        <f>INDEX(PT_DIFFERENTIATION_VTAR,MATCH(A300,PT_DIFFERENTIATION_VTAR_ID,0))</f>
        <v>Плата за услуги по поддержанию резервной тепловой мощности при отсутствии потребления тепловой энергии</v>
      </c>
      <c r="G300" s="2895" t="str">
        <f>INDEX(PT_DIFFERENTIATION_NTAR,MATCH(B300,PT_DIFFERENTIATION_NTAR_ID,0))</f>
        <v/>
      </c>
      <c r="H300" s="1777"/>
      <c r="I300" s="1656"/>
      <c r="J300" s="1690"/>
      <c r="K300" s="1695"/>
      <c r="L300" s="1777" t="s">
        <v>308</v>
      </c>
      <c r="M300" s="277"/>
      <c r="N300" s="270"/>
      <c r="O300" s="1542"/>
      <c r="P300" s="1542"/>
      <c r="AH300" s="1549">
        <v>0</v>
      </c>
    </row>
    <row r="301" spans="1:34" s="2513" customFormat="1" ht="18.75" hidden="1" customHeight="1">
      <c r="A301" s="1697"/>
      <c r="B301" s="1697"/>
      <c r="C301" s="304" t="s">
        <v>1147</v>
      </c>
      <c r="D301" s="2921"/>
      <c r="E301" s="2719"/>
      <c r="F301" s="2863"/>
      <c r="G301" s="2895"/>
      <c r="H301" s="1418"/>
      <c r="I301" s="586" t="s">
        <v>1146</v>
      </c>
      <c r="J301" s="506"/>
      <c r="K301" s="1418"/>
      <c r="L301" s="150"/>
      <c r="M301" s="277"/>
      <c r="N301" s="270"/>
      <c r="O301" s="1542"/>
      <c r="P301" s="1542"/>
      <c r="AH301" s="1549">
        <v>0</v>
      </c>
    </row>
    <row r="302" spans="1:34" s="2513" customFormat="1" ht="0.75" hidden="1" customHeight="1">
      <c r="A302" s="1697"/>
      <c r="B302" s="1697"/>
      <c r="C302" s="304" t="s">
        <v>1155</v>
      </c>
      <c r="D302" s="2921"/>
      <c r="E302" s="2719"/>
      <c r="F302" s="2863"/>
      <c r="G302" s="335"/>
      <c r="H302" s="1418"/>
      <c r="I302" s="586"/>
      <c r="J302" s="506"/>
      <c r="K302" s="1418"/>
      <c r="L302" s="150"/>
      <c r="M302" s="277"/>
      <c r="N302" s="270"/>
      <c r="O302" s="1542"/>
      <c r="P302" s="1542"/>
      <c r="AH302" s="1549">
        <v>0</v>
      </c>
    </row>
    <row r="303" spans="1:34" s="2513" customFormat="1" ht="18.75" hidden="1" customHeight="1">
      <c r="A303" s="1697" t="s">
        <v>201</v>
      </c>
      <c r="B303" s="1697" t="s">
        <v>202</v>
      </c>
      <c r="C303" s="304"/>
      <c r="D303" s="2921"/>
      <c r="E303" s="2719"/>
      <c r="F303" s="2863" t="str">
        <f>INDEX(PT_DIFFERENTIATION_VTAR,MATCH(A303,PT_DIFFERENTIATION_VTAR_ID,0))</f>
        <v>Плата за подключение (технологическое присоединение) к системе теплоснабжения</v>
      </c>
      <c r="G303" s="2895" t="str">
        <f>INDEX(PT_DIFFERENTIATION_NTAR,MATCH(B303,PT_DIFFERENTIATION_NTAR_ID,0))</f>
        <v/>
      </c>
      <c r="H303" s="1777"/>
      <c r="I303" s="1656"/>
      <c r="J303" s="1690"/>
      <c r="K303" s="1695"/>
      <c r="L303" s="1777" t="s">
        <v>308</v>
      </c>
      <c r="M303" s="277"/>
      <c r="N303" s="270"/>
      <c r="O303" s="1542"/>
      <c r="P303" s="1542"/>
      <c r="AH303" s="1549">
        <v>0</v>
      </c>
    </row>
    <row r="304" spans="1:34" s="2513" customFormat="1" ht="18.75" hidden="1" customHeight="1">
      <c r="A304" s="1697"/>
      <c r="B304" s="1697"/>
      <c r="C304" s="304" t="s">
        <v>1147</v>
      </c>
      <c r="D304" s="2921"/>
      <c r="E304" s="2719"/>
      <c r="F304" s="2863"/>
      <c r="G304" s="2895"/>
      <c r="H304" s="1418"/>
      <c r="I304" s="586" t="s">
        <v>1146</v>
      </c>
      <c r="J304" s="506"/>
      <c r="K304" s="1418"/>
      <c r="L304" s="150"/>
      <c r="M304" s="277"/>
      <c r="N304" s="270"/>
      <c r="O304" s="1542"/>
      <c r="P304" s="1542"/>
      <c r="AH304" s="1549">
        <v>0</v>
      </c>
    </row>
    <row r="305" spans="1:34" s="2513" customFormat="1" ht="0.75" hidden="1" customHeight="1">
      <c r="A305" s="1697"/>
      <c r="B305" s="1697"/>
      <c r="C305" s="304" t="s">
        <v>1155</v>
      </c>
      <c r="D305" s="2921"/>
      <c r="E305" s="2719"/>
      <c r="F305" s="2863"/>
      <c r="G305" s="335"/>
      <c r="H305" s="1418"/>
      <c r="I305" s="586"/>
      <c r="J305" s="506"/>
      <c r="K305" s="1418"/>
      <c r="L305" s="150"/>
      <c r="M305" s="277"/>
      <c r="N305" s="270"/>
      <c r="O305" s="1542"/>
      <c r="P305" s="1542"/>
      <c r="AH305" s="1549">
        <v>0</v>
      </c>
    </row>
    <row r="306" spans="1:34" s="2513" customFormat="1" ht="18.75" hidden="1" customHeight="1">
      <c r="A306" s="1697" t="s">
        <v>207</v>
      </c>
      <c r="B306" s="1697" t="s">
        <v>208</v>
      </c>
      <c r="C306" s="304"/>
      <c r="D306" s="2921"/>
      <c r="E306" s="2719"/>
      <c r="F306" s="2863" t="str">
        <f>INDEX(PT_DIFFERENTIATION_VTAR,MATCH(A306,PT_DIFFERENTIATION_VTAR_ID,0))</f>
        <v>Плата за подключение (технологическое присоединение) к системе теплоснабжения (индивидуальная)</v>
      </c>
      <c r="G306" s="2895" t="str">
        <f>INDEX(PT_DIFFERENTIATION_NTAR,MATCH(B306,PT_DIFFERENTIATION_NTAR_ID,0))</f>
        <v/>
      </c>
      <c r="H306" s="1901"/>
      <c r="I306" s="1656"/>
      <c r="J306" s="1690"/>
      <c r="K306" s="1695"/>
      <c r="L306" s="1901" t="s">
        <v>308</v>
      </c>
      <c r="M306" s="277"/>
      <c r="N306" s="270"/>
      <c r="O306" s="1542"/>
      <c r="P306" s="1542"/>
      <c r="AH306" s="1549">
        <v>0</v>
      </c>
    </row>
    <row r="307" spans="1:34" s="2513" customFormat="1" ht="18.75" hidden="1" customHeight="1">
      <c r="A307" s="1697"/>
      <c r="B307" s="1697"/>
      <c r="C307" s="304" t="s">
        <v>1147</v>
      </c>
      <c r="D307" s="2921"/>
      <c r="E307" s="2719"/>
      <c r="F307" s="2863"/>
      <c r="G307" s="2895"/>
      <c r="H307" s="1418"/>
      <c r="I307" s="586" t="s">
        <v>1146</v>
      </c>
      <c r="J307" s="506"/>
      <c r="K307" s="1418"/>
      <c r="L307" s="150"/>
      <c r="M307" s="277"/>
      <c r="N307" s="270"/>
      <c r="O307" s="1542"/>
      <c r="P307" s="1542"/>
      <c r="AH307" s="1549">
        <v>0</v>
      </c>
    </row>
    <row r="308" spans="1:34" s="2513" customFormat="1" ht="0.75" hidden="1" customHeight="1">
      <c r="A308" s="1697"/>
      <c r="B308" s="1697"/>
      <c r="C308" s="304" t="s">
        <v>1155</v>
      </c>
      <c r="D308" s="2921"/>
      <c r="E308" s="2719"/>
      <c r="F308" s="2863"/>
      <c r="G308" s="335"/>
      <c r="H308" s="1418"/>
      <c r="I308" s="586"/>
      <c r="J308" s="506"/>
      <c r="K308" s="1418"/>
      <c r="L308" s="150"/>
      <c r="M308" s="277"/>
      <c r="N308" s="270"/>
      <c r="O308" s="1542"/>
      <c r="P308" s="1542"/>
      <c r="AH308" s="1549">
        <v>0</v>
      </c>
    </row>
    <row r="309" spans="1:34" s="2513" customFormat="1" ht="18.75" hidden="1" customHeight="1">
      <c r="A309" s="1697" t="s">
        <v>227</v>
      </c>
      <c r="B309" s="1697" t="s">
        <v>228</v>
      </c>
      <c r="C309" s="304"/>
      <c r="D309" s="2921"/>
      <c r="E309" s="2719"/>
      <c r="F309" s="2863" t="str">
        <f>INDEX(PT_DIFFERENTIATION_VTAR,MATCH(A309,PT_DIFFERENTIATION_VTAR_ID,0))</f>
        <v>Тариф на питьевую воду (питьевое водоснабжение)</v>
      </c>
      <c r="G309" s="2895" t="str">
        <f>INDEX(PT_DIFFERENTIATION_NTAR,MATCH(B309,PT_DIFFERENTIATION_NTAR_ID,0))</f>
        <v/>
      </c>
      <c r="H309" s="1777"/>
      <c r="I309" s="1656"/>
      <c r="J309" s="1690"/>
      <c r="K309" s="1695"/>
      <c r="L309" s="1777" t="s">
        <v>308</v>
      </c>
      <c r="M309" s="277"/>
      <c r="N309" s="270"/>
      <c r="O309" s="1542"/>
      <c r="P309" s="1542"/>
      <c r="AH309" s="1549">
        <v>0</v>
      </c>
    </row>
    <row r="310" spans="1:34" s="2513" customFormat="1" ht="18.75" hidden="1" customHeight="1">
      <c r="A310" s="1697"/>
      <c r="B310" s="1697"/>
      <c r="C310" s="304" t="s">
        <v>1147</v>
      </c>
      <c r="D310" s="2921"/>
      <c r="E310" s="2719"/>
      <c r="F310" s="2863"/>
      <c r="G310" s="2895"/>
      <c r="H310" s="1418"/>
      <c r="I310" s="586" t="s">
        <v>1146</v>
      </c>
      <c r="J310" s="506"/>
      <c r="K310" s="1418"/>
      <c r="L310" s="150"/>
      <c r="M310" s="277"/>
      <c r="N310" s="270"/>
      <c r="O310" s="1542"/>
      <c r="P310" s="1542"/>
      <c r="AH310" s="1549">
        <v>0</v>
      </c>
    </row>
    <row r="311" spans="1:34" s="2513" customFormat="1" ht="0.75" hidden="1" customHeight="1">
      <c r="A311" s="1697"/>
      <c r="B311" s="1697"/>
      <c r="C311" s="304" t="s">
        <v>1155</v>
      </c>
      <c r="D311" s="2921"/>
      <c r="E311" s="2719"/>
      <c r="F311" s="2863"/>
      <c r="G311" s="335"/>
      <c r="H311" s="1418"/>
      <c r="I311" s="586"/>
      <c r="J311" s="506"/>
      <c r="K311" s="1418"/>
      <c r="L311" s="150"/>
      <c r="M311" s="277"/>
      <c r="N311" s="270"/>
      <c r="O311" s="1542"/>
      <c r="P311" s="1542"/>
      <c r="AH311" s="1549">
        <v>0</v>
      </c>
    </row>
    <row r="312" spans="1:34" s="2513" customFormat="1" ht="18.75" hidden="1" customHeight="1">
      <c r="A312" s="1697" t="s">
        <v>232</v>
      </c>
      <c r="B312" s="1697" t="s">
        <v>233</v>
      </c>
      <c r="C312" s="304"/>
      <c r="D312" s="2921"/>
      <c r="E312" s="2719"/>
      <c r="F312" s="2863" t="str">
        <f>INDEX(PT_DIFFERENTIATION_VTAR,MATCH(A312,PT_DIFFERENTIATION_VTAR_ID,0))</f>
        <v>Тариф на техническую воду</v>
      </c>
      <c r="G312" s="2895" t="str">
        <f>INDEX(PT_DIFFERENTIATION_NTAR,MATCH(B312,PT_DIFFERENTIATION_NTAR_ID,0))</f>
        <v/>
      </c>
      <c r="H312" s="1777"/>
      <c r="I312" s="1656"/>
      <c r="J312" s="1690"/>
      <c r="K312" s="1695"/>
      <c r="L312" s="1777" t="s">
        <v>308</v>
      </c>
      <c r="M312" s="277"/>
      <c r="N312" s="270"/>
      <c r="O312" s="1542"/>
      <c r="P312" s="1542"/>
      <c r="AH312" s="1549">
        <v>0</v>
      </c>
    </row>
    <row r="313" spans="1:34" s="2513" customFormat="1" ht="18.75" hidden="1" customHeight="1">
      <c r="A313" s="1697"/>
      <c r="B313" s="1697"/>
      <c r="C313" s="304" t="s">
        <v>1147</v>
      </c>
      <c r="D313" s="2921"/>
      <c r="E313" s="2719"/>
      <c r="F313" s="2863"/>
      <c r="G313" s="2895"/>
      <c r="H313" s="1418"/>
      <c r="I313" s="586" t="s">
        <v>1146</v>
      </c>
      <c r="J313" s="506"/>
      <c r="K313" s="1418"/>
      <c r="L313" s="150"/>
      <c r="M313" s="277"/>
      <c r="N313" s="270"/>
      <c r="O313" s="1542"/>
      <c r="P313" s="1542"/>
      <c r="AH313" s="1549">
        <v>0</v>
      </c>
    </row>
    <row r="314" spans="1:34" s="2513" customFormat="1" ht="0.75" hidden="1" customHeight="1">
      <c r="A314" s="1697"/>
      <c r="B314" s="1697"/>
      <c r="C314" s="304" t="s">
        <v>1155</v>
      </c>
      <c r="D314" s="2921"/>
      <c r="E314" s="2719"/>
      <c r="F314" s="2863"/>
      <c r="G314" s="335"/>
      <c r="H314" s="1418"/>
      <c r="I314" s="586"/>
      <c r="J314" s="506"/>
      <c r="K314" s="1418"/>
      <c r="L314" s="150"/>
      <c r="M314" s="277"/>
      <c r="N314" s="270"/>
      <c r="O314" s="1542"/>
      <c r="P314" s="1542"/>
      <c r="AH314" s="1549">
        <v>0</v>
      </c>
    </row>
    <row r="315" spans="1:34" s="2513" customFormat="1" ht="18.75" hidden="1" customHeight="1">
      <c r="A315" s="1697" t="s">
        <v>237</v>
      </c>
      <c r="B315" s="1697" t="s">
        <v>238</v>
      </c>
      <c r="C315" s="304"/>
      <c r="D315" s="2921"/>
      <c r="E315" s="2719"/>
      <c r="F315" s="2863" t="str">
        <f>INDEX(PT_DIFFERENTIATION_VTAR,MATCH(A315,PT_DIFFERENTIATION_VTAR_ID,0))</f>
        <v>Тариф на транспортировку воды</v>
      </c>
      <c r="G315" s="2895" t="str">
        <f>INDEX(PT_DIFFERENTIATION_NTAR,MATCH(B315,PT_DIFFERENTIATION_NTAR_ID,0))</f>
        <v/>
      </c>
      <c r="H315" s="1777"/>
      <c r="I315" s="1656"/>
      <c r="J315" s="1690"/>
      <c r="K315" s="1695"/>
      <c r="L315" s="1777" t="s">
        <v>308</v>
      </c>
      <c r="M315" s="277"/>
      <c r="N315" s="270"/>
      <c r="O315" s="1542"/>
      <c r="P315" s="1542"/>
      <c r="AH315" s="1549">
        <v>0</v>
      </c>
    </row>
    <row r="316" spans="1:34" s="2513" customFormat="1" ht="18.75" hidden="1" customHeight="1">
      <c r="A316" s="1697"/>
      <c r="B316" s="1697"/>
      <c r="C316" s="304" t="s">
        <v>1147</v>
      </c>
      <c r="D316" s="2921"/>
      <c r="E316" s="2719"/>
      <c r="F316" s="2863"/>
      <c r="G316" s="2895"/>
      <c r="H316" s="1418"/>
      <c r="I316" s="586" t="s">
        <v>1146</v>
      </c>
      <c r="J316" s="506"/>
      <c r="K316" s="1418"/>
      <c r="L316" s="150"/>
      <c r="M316" s="277"/>
      <c r="N316" s="270"/>
      <c r="O316" s="1542"/>
      <c r="P316" s="1542"/>
      <c r="AH316" s="1549">
        <v>0</v>
      </c>
    </row>
    <row r="317" spans="1:34" s="2513" customFormat="1" ht="0.75" hidden="1" customHeight="1">
      <c r="A317" s="1697"/>
      <c r="B317" s="1697"/>
      <c r="C317" s="304" t="s">
        <v>1155</v>
      </c>
      <c r="D317" s="2921"/>
      <c r="E317" s="2719"/>
      <c r="F317" s="2863"/>
      <c r="G317" s="335"/>
      <c r="H317" s="1418"/>
      <c r="I317" s="586"/>
      <c r="J317" s="506"/>
      <c r="K317" s="1418"/>
      <c r="L317" s="150"/>
      <c r="M317" s="277"/>
      <c r="N317" s="270"/>
      <c r="O317" s="1542"/>
      <c r="P317" s="1542"/>
      <c r="AH317" s="1549">
        <v>0</v>
      </c>
    </row>
    <row r="318" spans="1:34" s="2513" customFormat="1" ht="18.75" hidden="1" customHeight="1">
      <c r="A318" s="1697" t="s">
        <v>242</v>
      </c>
      <c r="B318" s="1697" t="s">
        <v>243</v>
      </c>
      <c r="C318" s="304"/>
      <c r="D318" s="2921"/>
      <c r="E318" s="2719"/>
      <c r="F318" s="2863" t="str">
        <f>INDEX(PT_DIFFERENTIATION_VTAR,MATCH(A318,PT_DIFFERENTIATION_VTAR_ID,0))</f>
        <v>Тариф на подвоз воды</v>
      </c>
      <c r="G318" s="2895" t="str">
        <f>INDEX(PT_DIFFERENTIATION_NTAR,MATCH(B318,PT_DIFFERENTIATION_NTAR_ID,0))</f>
        <v/>
      </c>
      <c r="H318" s="1777"/>
      <c r="I318" s="1656"/>
      <c r="J318" s="1690"/>
      <c r="K318" s="1695"/>
      <c r="L318" s="1777" t="s">
        <v>308</v>
      </c>
      <c r="M318" s="277"/>
      <c r="N318" s="270"/>
      <c r="O318" s="1542"/>
      <c r="P318" s="1542"/>
      <c r="AH318" s="1549">
        <v>0</v>
      </c>
    </row>
    <row r="319" spans="1:34" s="2513" customFormat="1" ht="18.75" hidden="1" customHeight="1">
      <c r="A319" s="1697"/>
      <c r="B319" s="1697"/>
      <c r="C319" s="304" t="s">
        <v>1147</v>
      </c>
      <c r="D319" s="2921"/>
      <c r="E319" s="2719"/>
      <c r="F319" s="2863"/>
      <c r="G319" s="2895"/>
      <c r="H319" s="1418"/>
      <c r="I319" s="586" t="s">
        <v>1146</v>
      </c>
      <c r="J319" s="506"/>
      <c r="K319" s="1418"/>
      <c r="L319" s="150"/>
      <c r="M319" s="277"/>
      <c r="N319" s="270"/>
      <c r="O319" s="1542"/>
      <c r="P319" s="1542"/>
      <c r="AH319" s="1549">
        <v>0</v>
      </c>
    </row>
    <row r="320" spans="1:34" s="2513" customFormat="1" ht="0.75" hidden="1" customHeight="1">
      <c r="A320" s="1697"/>
      <c r="B320" s="1697"/>
      <c r="C320" s="304" t="s">
        <v>1155</v>
      </c>
      <c r="D320" s="2921"/>
      <c r="E320" s="2719"/>
      <c r="F320" s="2863"/>
      <c r="G320" s="335"/>
      <c r="H320" s="1418"/>
      <c r="I320" s="586"/>
      <c r="J320" s="506"/>
      <c r="K320" s="1418"/>
      <c r="L320" s="150"/>
      <c r="M320" s="277"/>
      <c r="N320" s="270"/>
      <c r="O320" s="1542"/>
      <c r="P320" s="1542"/>
      <c r="AH320" s="1549">
        <v>0</v>
      </c>
    </row>
    <row r="321" spans="1:34" s="2513" customFormat="1" ht="18.75" hidden="1" customHeight="1">
      <c r="A321" s="1697" t="s">
        <v>247</v>
      </c>
      <c r="B321" s="1697" t="s">
        <v>248</v>
      </c>
      <c r="C321" s="304"/>
      <c r="D321" s="2921"/>
      <c r="E321" s="2719"/>
      <c r="F321" s="2863" t="str">
        <f>INDEX(PT_DIFFERENTIATION_VTAR,MATCH(A321,PT_DIFFERENTIATION_VTAR_ID,0))</f>
        <v>Тариф на подключение (технологическое присоединение) к централизованной системе холодного водоснабжения</v>
      </c>
      <c r="G321" s="2895" t="str">
        <f>INDEX(PT_DIFFERENTIATION_NTAR,MATCH(B321,PT_DIFFERENTIATION_NTAR_ID,0))</f>
        <v/>
      </c>
      <c r="H321" s="1777"/>
      <c r="I321" s="1656"/>
      <c r="J321" s="1690"/>
      <c r="K321" s="1695"/>
      <c r="L321" s="1777" t="s">
        <v>308</v>
      </c>
      <c r="M321" s="277"/>
      <c r="N321" s="270"/>
      <c r="O321" s="1542"/>
      <c r="P321" s="1542"/>
      <c r="AH321" s="1549">
        <v>0</v>
      </c>
    </row>
    <row r="322" spans="1:34" s="2513" customFormat="1" ht="18.75" hidden="1" customHeight="1">
      <c r="A322" s="1697"/>
      <c r="B322" s="1697"/>
      <c r="C322" s="304" t="s">
        <v>1147</v>
      </c>
      <c r="D322" s="2921"/>
      <c r="E322" s="2719"/>
      <c r="F322" s="2863"/>
      <c r="G322" s="2895"/>
      <c r="H322" s="1418"/>
      <c r="I322" s="586" t="s">
        <v>1146</v>
      </c>
      <c r="J322" s="506"/>
      <c r="K322" s="1418"/>
      <c r="L322" s="150"/>
      <c r="M322" s="277"/>
      <c r="N322" s="270"/>
      <c r="O322" s="1542"/>
      <c r="P322" s="1542"/>
      <c r="AH322" s="1549">
        <v>0</v>
      </c>
    </row>
    <row r="323" spans="1:34" s="2513" customFormat="1" ht="0.75" hidden="1" customHeight="1">
      <c r="A323" s="1697"/>
      <c r="B323" s="1697"/>
      <c r="C323" s="304" t="s">
        <v>1155</v>
      </c>
      <c r="D323" s="2921"/>
      <c r="E323" s="2719"/>
      <c r="F323" s="2863"/>
      <c r="G323" s="335"/>
      <c r="H323" s="1418"/>
      <c r="I323" s="586"/>
      <c r="J323" s="506"/>
      <c r="K323" s="1418"/>
      <c r="L323" s="150"/>
      <c r="M323" s="277"/>
      <c r="N323" s="270"/>
      <c r="O323" s="1542"/>
      <c r="P323" s="1542"/>
      <c r="AH323" s="1549">
        <v>0</v>
      </c>
    </row>
    <row r="324" spans="1:34" s="2513" customFormat="1" ht="18.75" hidden="1" customHeight="1">
      <c r="A324" s="1697" t="s">
        <v>252</v>
      </c>
      <c r="B324" s="1697" t="s">
        <v>253</v>
      </c>
      <c r="C324" s="304"/>
      <c r="D324" s="2921"/>
      <c r="E324" s="2719"/>
      <c r="F324" s="2863" t="str">
        <f>INDEX(PT_DIFFERENTIATION_VTAR,MATCH(A324,PT_DIFFERENTIATION_VTAR_ID,0))</f>
        <v>Тариф на горячую воду (горячее водоснабжение)</v>
      </c>
      <c r="G324" s="2895" t="str">
        <f>INDEX(PT_DIFFERENTIATION_NTAR,MATCH(B324,PT_DIFFERENTIATION_NTAR_ID,0))</f>
        <v/>
      </c>
      <c r="H324" s="1777"/>
      <c r="I324" s="1656"/>
      <c r="J324" s="1690"/>
      <c r="K324" s="1695"/>
      <c r="L324" s="1777" t="s">
        <v>308</v>
      </c>
      <c r="M324" s="277"/>
      <c r="N324" s="270"/>
      <c r="O324" s="1542"/>
      <c r="P324" s="1542"/>
      <c r="AH324" s="1549">
        <v>0</v>
      </c>
    </row>
    <row r="325" spans="1:34" s="2513" customFormat="1" ht="18.75" hidden="1" customHeight="1">
      <c r="A325" s="1697"/>
      <c r="B325" s="1697"/>
      <c r="C325" s="304" t="s">
        <v>1147</v>
      </c>
      <c r="D325" s="2921"/>
      <c r="E325" s="2719"/>
      <c r="F325" s="2863"/>
      <c r="G325" s="2895"/>
      <c r="H325" s="1418"/>
      <c r="I325" s="586" t="s">
        <v>1146</v>
      </c>
      <c r="J325" s="506"/>
      <c r="K325" s="1418"/>
      <c r="L325" s="150"/>
      <c r="M325" s="277"/>
      <c r="N325" s="270"/>
      <c r="O325" s="1542"/>
      <c r="P325" s="1542"/>
      <c r="AH325" s="1549">
        <v>0</v>
      </c>
    </row>
    <row r="326" spans="1:34" s="2513" customFormat="1" ht="0.75" hidden="1" customHeight="1">
      <c r="A326" s="1697"/>
      <c r="B326" s="1697"/>
      <c r="C326" s="304" t="s">
        <v>1155</v>
      </c>
      <c r="D326" s="2921"/>
      <c r="E326" s="2719"/>
      <c r="F326" s="2863"/>
      <c r="G326" s="335"/>
      <c r="H326" s="1418"/>
      <c r="I326" s="586"/>
      <c r="J326" s="506"/>
      <c r="K326" s="1418"/>
      <c r="L326" s="150"/>
      <c r="M326" s="277"/>
      <c r="N326" s="270"/>
      <c r="O326" s="1542"/>
      <c r="P326" s="1542"/>
      <c r="AH326" s="1549">
        <v>0</v>
      </c>
    </row>
    <row r="327" spans="1:34" s="2513" customFormat="1" ht="18.75" hidden="1" customHeight="1">
      <c r="A327" s="1697" t="s">
        <v>257</v>
      </c>
      <c r="B327" s="1697" t="s">
        <v>258</v>
      </c>
      <c r="C327" s="304"/>
      <c r="D327" s="2921"/>
      <c r="E327" s="2719"/>
      <c r="F327" s="2863" t="str">
        <f>INDEX(PT_DIFFERENTIATION_VTAR,MATCH(A327,PT_DIFFERENTIATION_VTAR_ID,0))</f>
        <v>Тариф на транспортировку горячей воды</v>
      </c>
      <c r="G327" s="2895" t="str">
        <f>INDEX(PT_DIFFERENTIATION_NTAR,MATCH(B327,PT_DIFFERENTIATION_NTAR_ID,0))</f>
        <v/>
      </c>
      <c r="H327" s="1777"/>
      <c r="I327" s="1656"/>
      <c r="J327" s="1690"/>
      <c r="K327" s="1695"/>
      <c r="L327" s="1777" t="s">
        <v>308</v>
      </c>
      <c r="M327" s="277"/>
      <c r="N327" s="270"/>
      <c r="O327" s="1542"/>
      <c r="P327" s="1542"/>
      <c r="AH327" s="1549">
        <v>0</v>
      </c>
    </row>
    <row r="328" spans="1:34" s="2513" customFormat="1" ht="18.75" hidden="1" customHeight="1">
      <c r="A328" s="1697"/>
      <c r="B328" s="1697"/>
      <c r="C328" s="304" t="s">
        <v>1147</v>
      </c>
      <c r="D328" s="2921"/>
      <c r="E328" s="2719"/>
      <c r="F328" s="2863"/>
      <c r="G328" s="2895"/>
      <c r="H328" s="1418"/>
      <c r="I328" s="586" t="s">
        <v>1146</v>
      </c>
      <c r="J328" s="506"/>
      <c r="K328" s="1418"/>
      <c r="L328" s="150"/>
      <c r="M328" s="277"/>
      <c r="N328" s="270"/>
      <c r="O328" s="1542"/>
      <c r="P328" s="1542"/>
      <c r="AH328" s="1549">
        <v>0</v>
      </c>
    </row>
    <row r="329" spans="1:34" s="2513" customFormat="1" ht="0.75" hidden="1" customHeight="1">
      <c r="A329" s="1697"/>
      <c r="B329" s="1697"/>
      <c r="C329" s="304" t="s">
        <v>1155</v>
      </c>
      <c r="D329" s="2921"/>
      <c r="E329" s="2719"/>
      <c r="F329" s="2863"/>
      <c r="G329" s="335"/>
      <c r="H329" s="1418"/>
      <c r="I329" s="586"/>
      <c r="J329" s="506"/>
      <c r="K329" s="1418"/>
      <c r="L329" s="150"/>
      <c r="M329" s="277"/>
      <c r="N329" s="270"/>
      <c r="O329" s="1542"/>
      <c r="P329" s="1542"/>
      <c r="AH329" s="1549">
        <v>0</v>
      </c>
    </row>
    <row r="330" spans="1:34" s="2513" customFormat="1" ht="18.75" hidden="1" customHeight="1">
      <c r="A330" s="1697" t="s">
        <v>262</v>
      </c>
      <c r="B330" s="1697" t="s">
        <v>263</v>
      </c>
      <c r="C330" s="304"/>
      <c r="D330" s="2921"/>
      <c r="E330" s="2719"/>
      <c r="F330" s="2863" t="str">
        <f>INDEX(PT_DIFFERENTIATION_VTAR,MATCH(A330,PT_DIFFERENTIATION_VTAR_ID,0))</f>
        <v>Тариф на подключение (технологическое присоединение) к централизованной системе горячего водоснабжения</v>
      </c>
      <c r="G330" s="2895" t="str">
        <f>INDEX(PT_DIFFERENTIATION_NTAR,MATCH(B330,PT_DIFFERENTIATION_NTAR_ID,0))</f>
        <v/>
      </c>
      <c r="H330" s="1777"/>
      <c r="I330" s="1656"/>
      <c r="J330" s="1690"/>
      <c r="K330" s="1695"/>
      <c r="L330" s="1777" t="s">
        <v>308</v>
      </c>
      <c r="M330" s="277"/>
      <c r="N330" s="270"/>
      <c r="O330" s="1542"/>
      <c r="P330" s="1542"/>
      <c r="AH330" s="1549">
        <v>0</v>
      </c>
    </row>
    <row r="331" spans="1:34" s="2513" customFormat="1" ht="18.75" hidden="1" customHeight="1">
      <c r="A331" s="1697"/>
      <c r="B331" s="1697"/>
      <c r="C331" s="304" t="s">
        <v>1147</v>
      </c>
      <c r="D331" s="2921"/>
      <c r="E331" s="2719"/>
      <c r="F331" s="2863"/>
      <c r="G331" s="2895"/>
      <c r="H331" s="1418"/>
      <c r="I331" s="586" t="s">
        <v>1146</v>
      </c>
      <c r="J331" s="506"/>
      <c r="K331" s="1418"/>
      <c r="L331" s="150"/>
      <c r="M331" s="277"/>
      <c r="N331" s="270"/>
      <c r="O331" s="1542"/>
      <c r="P331" s="1542"/>
      <c r="AH331" s="1549">
        <v>0</v>
      </c>
    </row>
    <row r="332" spans="1:34" s="2513" customFormat="1" ht="0.75" hidden="1" customHeight="1">
      <c r="A332" s="1697"/>
      <c r="B332" s="1697"/>
      <c r="C332" s="304" t="s">
        <v>1155</v>
      </c>
      <c r="D332" s="2921"/>
      <c r="E332" s="2719"/>
      <c r="F332" s="2863"/>
      <c r="G332" s="335"/>
      <c r="H332" s="1418"/>
      <c r="I332" s="586"/>
      <c r="J332" s="506"/>
      <c r="K332" s="1418"/>
      <c r="L332" s="150"/>
      <c r="M332" s="277"/>
      <c r="N332" s="270"/>
      <c r="O332" s="1542"/>
      <c r="P332" s="1542"/>
      <c r="AH332" s="1549">
        <v>0</v>
      </c>
    </row>
    <row r="333" spans="1:34" s="2513" customFormat="1" ht="18.75" hidden="1" customHeight="1">
      <c r="A333" s="1697" t="s">
        <v>267</v>
      </c>
      <c r="B333" s="1697" t="s">
        <v>268</v>
      </c>
      <c r="C333" s="304"/>
      <c r="D333" s="2921"/>
      <c r="E333" s="2719"/>
      <c r="F333" s="2863" t="str">
        <f>INDEX(PT_DIFFERENTIATION_VTAR,MATCH(A333,PT_DIFFERENTIATION_VTAR_ID,0))</f>
        <v>Тариф на водоотведение</v>
      </c>
      <c r="G333" s="2895" t="str">
        <f>INDEX(PT_DIFFERENTIATION_NTAR,MATCH(B333,PT_DIFFERENTIATION_NTAR_ID,0))</f>
        <v/>
      </c>
      <c r="H333" s="1777"/>
      <c r="I333" s="1656"/>
      <c r="J333" s="1690"/>
      <c r="K333" s="1695"/>
      <c r="L333" s="1777" t="s">
        <v>308</v>
      </c>
      <c r="M333" s="277"/>
      <c r="N333" s="270"/>
      <c r="O333" s="1542"/>
      <c r="P333" s="1542"/>
      <c r="AH333" s="1549">
        <v>0</v>
      </c>
    </row>
    <row r="334" spans="1:34" s="2513" customFormat="1" ht="18.75" hidden="1" customHeight="1">
      <c r="A334" s="1697"/>
      <c r="B334" s="1697"/>
      <c r="C334" s="304" t="s">
        <v>1147</v>
      </c>
      <c r="D334" s="2921"/>
      <c r="E334" s="2719"/>
      <c r="F334" s="2863"/>
      <c r="G334" s="2895"/>
      <c r="H334" s="1418"/>
      <c r="I334" s="586" t="s">
        <v>1146</v>
      </c>
      <c r="J334" s="506"/>
      <c r="K334" s="1418"/>
      <c r="L334" s="150"/>
      <c r="M334" s="277"/>
      <c r="N334" s="270"/>
      <c r="O334" s="1542"/>
      <c r="P334" s="1542"/>
      <c r="AH334" s="1549">
        <v>0</v>
      </c>
    </row>
    <row r="335" spans="1:34" s="2513" customFormat="1" ht="0.75" hidden="1" customHeight="1">
      <c r="A335" s="1697"/>
      <c r="B335" s="1697"/>
      <c r="C335" s="304" t="s">
        <v>1155</v>
      </c>
      <c r="D335" s="2921"/>
      <c r="E335" s="2719"/>
      <c r="F335" s="2863"/>
      <c r="G335" s="335"/>
      <c r="H335" s="1418"/>
      <c r="I335" s="586"/>
      <c r="J335" s="506"/>
      <c r="K335" s="1418"/>
      <c r="L335" s="150"/>
      <c r="M335" s="277"/>
      <c r="N335" s="270"/>
      <c r="O335" s="1542"/>
      <c r="P335" s="1542"/>
      <c r="AH335" s="1549">
        <v>0</v>
      </c>
    </row>
    <row r="336" spans="1:34" s="2513" customFormat="1" ht="18.75" hidden="1" customHeight="1">
      <c r="A336" s="1697" t="s">
        <v>272</v>
      </c>
      <c r="B336" s="1697" t="s">
        <v>273</v>
      </c>
      <c r="C336" s="304"/>
      <c r="D336" s="2921"/>
      <c r="E336" s="2719"/>
      <c r="F336" s="2863" t="str">
        <f>INDEX(PT_DIFFERENTIATION_VTAR,MATCH(A336,PT_DIFFERENTIATION_VTAR_ID,0))</f>
        <v>Тариф на транспортировку сточных вод</v>
      </c>
      <c r="G336" s="2895" t="str">
        <f>INDEX(PT_DIFFERENTIATION_NTAR,MATCH(B336,PT_DIFFERENTIATION_NTAR_ID,0))</f>
        <v/>
      </c>
      <c r="H336" s="1777"/>
      <c r="I336" s="1656"/>
      <c r="J336" s="1690"/>
      <c r="K336" s="1695"/>
      <c r="L336" s="1777" t="s">
        <v>308</v>
      </c>
      <c r="M336" s="277"/>
      <c r="N336" s="270"/>
      <c r="O336" s="1542"/>
      <c r="P336" s="1542"/>
      <c r="AH336" s="1549">
        <v>0</v>
      </c>
    </row>
    <row r="337" spans="1:34" s="2513" customFormat="1" ht="18.75" hidden="1" customHeight="1">
      <c r="A337" s="1697"/>
      <c r="B337" s="1697"/>
      <c r="C337" s="304" t="s">
        <v>1147</v>
      </c>
      <c r="D337" s="2921"/>
      <c r="E337" s="2719"/>
      <c r="F337" s="2863"/>
      <c r="G337" s="2895"/>
      <c r="H337" s="1418"/>
      <c r="I337" s="586" t="s">
        <v>1146</v>
      </c>
      <c r="J337" s="506"/>
      <c r="K337" s="1418"/>
      <c r="L337" s="150"/>
      <c r="M337" s="277"/>
      <c r="N337" s="270"/>
      <c r="O337" s="1542"/>
      <c r="P337" s="1542"/>
      <c r="AH337" s="1549">
        <v>0</v>
      </c>
    </row>
    <row r="338" spans="1:34" s="2513" customFormat="1" ht="0.75" hidden="1" customHeight="1">
      <c r="A338" s="1697"/>
      <c r="B338" s="1697"/>
      <c r="C338" s="304" t="s">
        <v>1155</v>
      </c>
      <c r="D338" s="2921"/>
      <c r="E338" s="2719"/>
      <c r="F338" s="2863"/>
      <c r="G338" s="335"/>
      <c r="H338" s="1418"/>
      <c r="I338" s="586"/>
      <c r="J338" s="506"/>
      <c r="K338" s="1418"/>
      <c r="L338" s="150"/>
      <c r="M338" s="277"/>
      <c r="N338" s="270"/>
      <c r="O338" s="1542"/>
      <c r="P338" s="1542"/>
      <c r="AH338" s="1549">
        <v>0</v>
      </c>
    </row>
    <row r="339" spans="1:34" s="2513" customFormat="1" ht="18.75" hidden="1" customHeight="1">
      <c r="A339" s="1697" t="s">
        <v>277</v>
      </c>
      <c r="B339" s="1697" t="s">
        <v>278</v>
      </c>
      <c r="C339" s="304"/>
      <c r="D339" s="2921"/>
      <c r="E339" s="2719"/>
      <c r="F339" s="2863" t="str">
        <f>INDEX(PT_DIFFERENTIATION_VTAR,MATCH(A339,PT_DIFFERENTIATION_VTAR_ID,0))</f>
        <v>Тариф на подключение (технологическое присоединение) к централизованной системе водоотведения</v>
      </c>
      <c r="G339" s="2895" t="str">
        <f>INDEX(PT_DIFFERENTIATION_NTAR,MATCH(B339,PT_DIFFERENTIATION_NTAR_ID,0))</f>
        <v/>
      </c>
      <c r="H339" s="1777"/>
      <c r="I339" s="1656"/>
      <c r="J339" s="1690"/>
      <c r="K339" s="1695"/>
      <c r="L339" s="1777" t="s">
        <v>308</v>
      </c>
      <c r="M339" s="277"/>
      <c r="N339" s="270"/>
      <c r="O339" s="1542"/>
      <c r="P339" s="1542"/>
      <c r="AH339" s="1549">
        <v>0</v>
      </c>
    </row>
    <row r="340" spans="1:34" s="2513" customFormat="1" ht="18.75" hidden="1" customHeight="1">
      <c r="A340" s="1697"/>
      <c r="B340" s="1697"/>
      <c r="C340" s="304" t="s">
        <v>1147</v>
      </c>
      <c r="D340" s="2921"/>
      <c r="E340" s="2719"/>
      <c r="F340" s="2863"/>
      <c r="G340" s="2895"/>
      <c r="H340" s="1418"/>
      <c r="I340" s="586" t="s">
        <v>1146</v>
      </c>
      <c r="J340" s="506"/>
      <c r="K340" s="1418"/>
      <c r="L340" s="150"/>
      <c r="M340" s="277"/>
      <c r="N340" s="270"/>
      <c r="O340" s="1542"/>
      <c r="P340" s="1542"/>
      <c r="AH340" s="1549">
        <v>0</v>
      </c>
    </row>
    <row r="341" spans="1:34" s="2513" customFormat="1" ht="1.1499999999999999" customHeight="1">
      <c r="A341" s="1697"/>
      <c r="B341" s="1697"/>
      <c r="C341" s="304" t="s">
        <v>1155</v>
      </c>
      <c r="D341" s="2921"/>
      <c r="E341" s="2719"/>
      <c r="F341" s="2863"/>
      <c r="G341" s="335"/>
      <c r="H341" s="1418"/>
      <c r="I341" s="586"/>
      <c r="J341" s="506"/>
      <c r="K341" s="1418"/>
      <c r="L341" s="150"/>
      <c r="M341" s="277"/>
      <c r="N341" s="270"/>
      <c r="O341" s="1542"/>
      <c r="P341" s="1542"/>
      <c r="AH341" s="1549">
        <v>1</v>
      </c>
    </row>
    <row r="342" spans="1:34" s="2566" customFormat="1" ht="3" customHeight="1">
      <c r="A342" s="1697"/>
      <c r="B342" s="1697"/>
      <c r="C342" s="1698"/>
      <c r="E342" s="337"/>
      <c r="F342" s="337"/>
      <c r="G342" s="337"/>
      <c r="H342" s="337"/>
      <c r="I342" s="337"/>
      <c r="J342" s="337"/>
      <c r="K342" s="337"/>
      <c r="L342" s="337"/>
      <c r="M342" s="337"/>
      <c r="O342" s="132"/>
      <c r="P342" s="132"/>
      <c r="AH342" s="78">
        <v>3</v>
      </c>
    </row>
    <row r="343" spans="1:34" ht="26.25" customHeight="1">
      <c r="E343" s="138"/>
      <c r="F343" s="2786"/>
      <c r="G343" s="2786"/>
      <c r="H343" s="2786"/>
      <c r="I343" s="2786"/>
      <c r="J343" s="2786"/>
      <c r="K343" s="2786"/>
      <c r="L343" s="2786"/>
      <c r="M343" s="2786"/>
      <c r="AH343" s="309">
        <v>25</v>
      </c>
    </row>
    <row r="344" spans="1:34" ht="14.25" hidden="1" customHeight="1">
      <c r="A344" s="1696" t="s">
        <v>81</v>
      </c>
      <c r="B344" s="1696">
        <v>0</v>
      </c>
      <c r="C344" s="304">
        <v>0</v>
      </c>
      <c r="D344" s="280">
        <v>3</v>
      </c>
      <c r="E344" s="309">
        <v>6</v>
      </c>
      <c r="F344" s="309">
        <v>46</v>
      </c>
      <c r="G344" s="309">
        <v>35</v>
      </c>
      <c r="H344" s="309">
        <v>3</v>
      </c>
      <c r="I344" s="309">
        <v>11</v>
      </c>
      <c r="J344" s="309">
        <v>11</v>
      </c>
      <c r="K344" s="309">
        <v>35</v>
      </c>
      <c r="L344" s="309">
        <v>35</v>
      </c>
      <c r="M344" s="309">
        <v>84</v>
      </c>
      <c r="N344" s="309">
        <v>10</v>
      </c>
      <c r="O344" s="285">
        <v>10</v>
      </c>
      <c r="P344" s="285">
        <v>10</v>
      </c>
      <c r="Q344" s="309">
        <v>10</v>
      </c>
      <c r="R344" s="309">
        <v>10</v>
      </c>
      <c r="S344" s="309">
        <v>10</v>
      </c>
      <c r="T344" s="309">
        <v>10</v>
      </c>
      <c r="U344" s="309">
        <v>10</v>
      </c>
      <c r="V344" s="309">
        <v>10</v>
      </c>
      <c r="W344" s="309">
        <v>10</v>
      </c>
      <c r="X344" s="309">
        <v>10</v>
      </c>
      <c r="Y344" s="309">
        <v>10</v>
      </c>
      <c r="Z344" s="309">
        <v>10</v>
      </c>
      <c r="AA344" s="309">
        <v>10</v>
      </c>
      <c r="AB344" s="309">
        <v>10</v>
      </c>
      <c r="AC344" s="309">
        <v>10</v>
      </c>
      <c r="AD344" s="309">
        <v>10</v>
      </c>
      <c r="AE344" s="309">
        <v>10</v>
      </c>
      <c r="AF344" s="309">
        <v>10</v>
      </c>
      <c r="AG344" s="309">
        <v>10</v>
      </c>
      <c r="AH344" s="309">
        <v>14</v>
      </c>
    </row>
  </sheetData>
  <sheetProtection formatColumns="0" formatRows="0" insertRows="0" deleteColumns="0" deleteRows="0" sort="0" autoFilter="0"/>
  <mergeCells count="428">
    <mergeCell ref="G52:G53"/>
    <mergeCell ref="D119:D121"/>
    <mergeCell ref="E119:E121"/>
    <mergeCell ref="F119:F121"/>
    <mergeCell ref="G119:G120"/>
    <mergeCell ref="D184:D186"/>
    <mergeCell ref="E184:E186"/>
    <mergeCell ref="F184:F186"/>
    <mergeCell ref="G184:G185"/>
    <mergeCell ref="D73:D75"/>
    <mergeCell ref="E73:E75"/>
    <mergeCell ref="F73:F75"/>
    <mergeCell ref="D98:D100"/>
    <mergeCell ref="E98:E100"/>
    <mergeCell ref="D76:D78"/>
    <mergeCell ref="E76:E78"/>
    <mergeCell ref="F76:F78"/>
    <mergeCell ref="G169:G170"/>
    <mergeCell ref="G172:G173"/>
    <mergeCell ref="E52:E54"/>
    <mergeCell ref="F52:F54"/>
    <mergeCell ref="G104:G105"/>
    <mergeCell ref="G107:G108"/>
    <mergeCell ref="D79:D81"/>
    <mergeCell ref="F43:F45"/>
    <mergeCell ref="G2:G3"/>
    <mergeCell ref="G5:G6"/>
    <mergeCell ref="E14:L14"/>
    <mergeCell ref="G16:L16"/>
    <mergeCell ref="G17:L17"/>
    <mergeCell ref="E19:L19"/>
    <mergeCell ref="D24:D30"/>
    <mergeCell ref="M19:M21"/>
    <mergeCell ref="E20:E21"/>
    <mergeCell ref="F20:F21"/>
    <mergeCell ref="G20:G21"/>
    <mergeCell ref="H20:J20"/>
    <mergeCell ref="K20:K21"/>
    <mergeCell ref="L20:L21"/>
    <mergeCell ref="H21:I21"/>
    <mergeCell ref="H22:I22"/>
    <mergeCell ref="F23:L23"/>
    <mergeCell ref="G24:G29"/>
    <mergeCell ref="F24:F30"/>
    <mergeCell ref="E24:E30"/>
    <mergeCell ref="F318:F320"/>
    <mergeCell ref="G315:G316"/>
    <mergeCell ref="D46:D48"/>
    <mergeCell ref="E46:E48"/>
    <mergeCell ref="F46:F48"/>
    <mergeCell ref="D31:D33"/>
    <mergeCell ref="E31:E33"/>
    <mergeCell ref="F31:F33"/>
    <mergeCell ref="D34:D36"/>
    <mergeCell ref="E34:E36"/>
    <mergeCell ref="F34:F36"/>
    <mergeCell ref="D37:D39"/>
    <mergeCell ref="E37:E39"/>
    <mergeCell ref="F37:F39"/>
    <mergeCell ref="G31:G32"/>
    <mergeCell ref="G34:G35"/>
    <mergeCell ref="G37:G38"/>
    <mergeCell ref="G40:G41"/>
    <mergeCell ref="G43:G44"/>
    <mergeCell ref="D40:D42"/>
    <mergeCell ref="E40:E42"/>
    <mergeCell ref="F40:F42"/>
    <mergeCell ref="D43:D45"/>
    <mergeCell ref="E43:E45"/>
    <mergeCell ref="F343:M343"/>
    <mergeCell ref="F281:L281"/>
    <mergeCell ref="D282:D284"/>
    <mergeCell ref="E282:E284"/>
    <mergeCell ref="F282:F284"/>
    <mergeCell ref="D285:D287"/>
    <mergeCell ref="E285:E287"/>
    <mergeCell ref="F285:F287"/>
    <mergeCell ref="D288:D290"/>
    <mergeCell ref="D294:D296"/>
    <mergeCell ref="E294:E296"/>
    <mergeCell ref="F294:F296"/>
    <mergeCell ref="D297:D299"/>
    <mergeCell ref="E297:E299"/>
    <mergeCell ref="F297:F299"/>
    <mergeCell ref="E288:E290"/>
    <mergeCell ref="F288:F290"/>
    <mergeCell ref="D291:D293"/>
    <mergeCell ref="E291:E293"/>
    <mergeCell ref="F315:F317"/>
    <mergeCell ref="D318:D320"/>
    <mergeCell ref="E318:E320"/>
    <mergeCell ref="D339:D341"/>
    <mergeCell ref="E339:E341"/>
    <mergeCell ref="G49:G50"/>
    <mergeCell ref="G55:G56"/>
    <mergeCell ref="G58:G59"/>
    <mergeCell ref="G61:G62"/>
    <mergeCell ref="M221:M224"/>
    <mergeCell ref="M91:M98"/>
    <mergeCell ref="F155:L155"/>
    <mergeCell ref="M156:M163"/>
    <mergeCell ref="F220:L220"/>
    <mergeCell ref="F55:F57"/>
    <mergeCell ref="F58:F60"/>
    <mergeCell ref="F79:F81"/>
    <mergeCell ref="F82:F84"/>
    <mergeCell ref="F98:F100"/>
    <mergeCell ref="F101:F103"/>
    <mergeCell ref="M24:M87"/>
    <mergeCell ref="G46:G47"/>
    <mergeCell ref="G137:G138"/>
    <mergeCell ref="G140:G141"/>
    <mergeCell ref="G143:G144"/>
    <mergeCell ref="G146:G147"/>
    <mergeCell ref="G166:G167"/>
    <mergeCell ref="G98:G99"/>
    <mergeCell ref="G101:G102"/>
    <mergeCell ref="D49:D51"/>
    <mergeCell ref="E49:E51"/>
    <mergeCell ref="F49:F51"/>
    <mergeCell ref="D67:D69"/>
    <mergeCell ref="E67:E69"/>
    <mergeCell ref="F67:F69"/>
    <mergeCell ref="D70:D72"/>
    <mergeCell ref="E70:E72"/>
    <mergeCell ref="F70:F72"/>
    <mergeCell ref="D61:D63"/>
    <mergeCell ref="E61:E63"/>
    <mergeCell ref="F61:F63"/>
    <mergeCell ref="D64:D66"/>
    <mergeCell ref="E64:E66"/>
    <mergeCell ref="F64:F66"/>
    <mergeCell ref="D55:D57"/>
    <mergeCell ref="E55:E57"/>
    <mergeCell ref="D58:D60"/>
    <mergeCell ref="E58:E60"/>
    <mergeCell ref="D52:D54"/>
    <mergeCell ref="E79:E81"/>
    <mergeCell ref="D82:D84"/>
    <mergeCell ref="E82:E84"/>
    <mergeCell ref="D101:D103"/>
    <mergeCell ref="E101:E103"/>
    <mergeCell ref="D116:D118"/>
    <mergeCell ref="E116:E118"/>
    <mergeCell ref="F116:F118"/>
    <mergeCell ref="F104:F106"/>
    <mergeCell ref="D107:D109"/>
    <mergeCell ref="E107:E109"/>
    <mergeCell ref="F107:F109"/>
    <mergeCell ref="D85:D87"/>
    <mergeCell ref="E85:E87"/>
    <mergeCell ref="F85:F87"/>
    <mergeCell ref="D91:D97"/>
    <mergeCell ref="E91:E97"/>
    <mergeCell ref="F91:F97"/>
    <mergeCell ref="D104:D106"/>
    <mergeCell ref="E104:E106"/>
    <mergeCell ref="F88:L88"/>
    <mergeCell ref="H89:I89"/>
    <mergeCell ref="F90:L90"/>
    <mergeCell ref="G110:G111"/>
    <mergeCell ref="D122:D124"/>
    <mergeCell ref="E122:E124"/>
    <mergeCell ref="F122:F124"/>
    <mergeCell ref="D110:D112"/>
    <mergeCell ref="E110:E112"/>
    <mergeCell ref="F110:F112"/>
    <mergeCell ref="D113:D115"/>
    <mergeCell ref="E113:E115"/>
    <mergeCell ref="F113:F115"/>
    <mergeCell ref="D125:D127"/>
    <mergeCell ref="E125:E127"/>
    <mergeCell ref="F125:F127"/>
    <mergeCell ref="D128:D130"/>
    <mergeCell ref="E128:E130"/>
    <mergeCell ref="F128:F130"/>
    <mergeCell ref="G128:G129"/>
    <mergeCell ref="G131:G132"/>
    <mergeCell ref="G134:G135"/>
    <mergeCell ref="D131:D133"/>
    <mergeCell ref="E131:E133"/>
    <mergeCell ref="F131:F133"/>
    <mergeCell ref="D134:D136"/>
    <mergeCell ref="E134:E136"/>
    <mergeCell ref="F134:F136"/>
    <mergeCell ref="D143:D145"/>
    <mergeCell ref="E143:E145"/>
    <mergeCell ref="F143:F145"/>
    <mergeCell ref="D146:D148"/>
    <mergeCell ref="E146:E148"/>
    <mergeCell ref="F146:F148"/>
    <mergeCell ref="D137:D139"/>
    <mergeCell ref="E137:E139"/>
    <mergeCell ref="F137:F139"/>
    <mergeCell ref="D140:D142"/>
    <mergeCell ref="E140:E142"/>
    <mergeCell ref="F140:F142"/>
    <mergeCell ref="G149:G150"/>
    <mergeCell ref="G152:G153"/>
    <mergeCell ref="G156:G161"/>
    <mergeCell ref="G163:G164"/>
    <mergeCell ref="D172:D174"/>
    <mergeCell ref="E172:E174"/>
    <mergeCell ref="F172:F174"/>
    <mergeCell ref="D175:D177"/>
    <mergeCell ref="E175:E177"/>
    <mergeCell ref="F175:F177"/>
    <mergeCell ref="D166:D168"/>
    <mergeCell ref="D163:D165"/>
    <mergeCell ref="E163:E165"/>
    <mergeCell ref="F163:F165"/>
    <mergeCell ref="D149:D151"/>
    <mergeCell ref="E149:E151"/>
    <mergeCell ref="F149:F151"/>
    <mergeCell ref="D152:D154"/>
    <mergeCell ref="E152:E154"/>
    <mergeCell ref="F152:F154"/>
    <mergeCell ref="D156:D162"/>
    <mergeCell ref="E156:E162"/>
    <mergeCell ref="F156:F162"/>
    <mergeCell ref="E166:E168"/>
    <mergeCell ref="F166:F168"/>
    <mergeCell ref="D169:D171"/>
    <mergeCell ref="E169:E171"/>
    <mergeCell ref="F169:F171"/>
    <mergeCell ref="D178:D180"/>
    <mergeCell ref="E178:E180"/>
    <mergeCell ref="F178:F180"/>
    <mergeCell ref="D181:D183"/>
    <mergeCell ref="E181:E183"/>
    <mergeCell ref="F181:F183"/>
    <mergeCell ref="D202:D204"/>
    <mergeCell ref="E202:E204"/>
    <mergeCell ref="F202:F204"/>
    <mergeCell ref="D193:D195"/>
    <mergeCell ref="E193:E195"/>
    <mergeCell ref="F193:F195"/>
    <mergeCell ref="D196:D198"/>
    <mergeCell ref="E196:E198"/>
    <mergeCell ref="F196:F198"/>
    <mergeCell ref="D187:D189"/>
    <mergeCell ref="E187:E189"/>
    <mergeCell ref="F187:F189"/>
    <mergeCell ref="D190:D192"/>
    <mergeCell ref="E190:E192"/>
    <mergeCell ref="F190:F192"/>
    <mergeCell ref="G190:G191"/>
    <mergeCell ref="D199:D201"/>
    <mergeCell ref="E199:E201"/>
    <mergeCell ref="F199:F201"/>
    <mergeCell ref="D205:D207"/>
    <mergeCell ref="E205:E207"/>
    <mergeCell ref="F205:F207"/>
    <mergeCell ref="D208:D210"/>
    <mergeCell ref="E208:E210"/>
    <mergeCell ref="F208:F210"/>
    <mergeCell ref="G205:G206"/>
    <mergeCell ref="G208:G209"/>
    <mergeCell ref="D227:D229"/>
    <mergeCell ref="E227:E229"/>
    <mergeCell ref="F227:F229"/>
    <mergeCell ref="D217:D219"/>
    <mergeCell ref="E217:E219"/>
    <mergeCell ref="F217:F219"/>
    <mergeCell ref="D221:D223"/>
    <mergeCell ref="E221:E223"/>
    <mergeCell ref="F221:F223"/>
    <mergeCell ref="D211:D213"/>
    <mergeCell ref="E211:E213"/>
    <mergeCell ref="F211:F213"/>
    <mergeCell ref="D214:D216"/>
    <mergeCell ref="E214:E216"/>
    <mergeCell ref="F214:F216"/>
    <mergeCell ref="G214:G215"/>
    <mergeCell ref="D236:D238"/>
    <mergeCell ref="E236:E238"/>
    <mergeCell ref="F236:F238"/>
    <mergeCell ref="D239:D241"/>
    <mergeCell ref="E239:E241"/>
    <mergeCell ref="F239:F241"/>
    <mergeCell ref="G239:G240"/>
    <mergeCell ref="D224:D226"/>
    <mergeCell ref="E224:E226"/>
    <mergeCell ref="F224:F226"/>
    <mergeCell ref="D230:D232"/>
    <mergeCell ref="E230:E232"/>
    <mergeCell ref="F230:F232"/>
    <mergeCell ref="D233:D235"/>
    <mergeCell ref="E233:E235"/>
    <mergeCell ref="F233:F235"/>
    <mergeCell ref="D251:D253"/>
    <mergeCell ref="E251:E253"/>
    <mergeCell ref="F251:F253"/>
    <mergeCell ref="G245:G246"/>
    <mergeCell ref="D257:D259"/>
    <mergeCell ref="E257:E259"/>
    <mergeCell ref="F257:F259"/>
    <mergeCell ref="D254:D256"/>
    <mergeCell ref="E254:E256"/>
    <mergeCell ref="F254:F256"/>
    <mergeCell ref="D242:D244"/>
    <mergeCell ref="E242:E244"/>
    <mergeCell ref="F242:F244"/>
    <mergeCell ref="D248:D250"/>
    <mergeCell ref="E248:E250"/>
    <mergeCell ref="F248:F250"/>
    <mergeCell ref="D245:D247"/>
    <mergeCell ref="E245:E247"/>
    <mergeCell ref="F245:F247"/>
    <mergeCell ref="D260:D262"/>
    <mergeCell ref="E260:E262"/>
    <mergeCell ref="F260:F262"/>
    <mergeCell ref="G257:G258"/>
    <mergeCell ref="G260:G261"/>
    <mergeCell ref="G263:G264"/>
    <mergeCell ref="D278:D280"/>
    <mergeCell ref="E278:E280"/>
    <mergeCell ref="F278:F280"/>
    <mergeCell ref="D269:D271"/>
    <mergeCell ref="E269:E271"/>
    <mergeCell ref="F269:F271"/>
    <mergeCell ref="D272:D274"/>
    <mergeCell ref="E272:E274"/>
    <mergeCell ref="F272:F274"/>
    <mergeCell ref="D263:D265"/>
    <mergeCell ref="E263:E265"/>
    <mergeCell ref="F263:F265"/>
    <mergeCell ref="D266:D268"/>
    <mergeCell ref="E266:E268"/>
    <mergeCell ref="F266:F268"/>
    <mergeCell ref="G266:G267"/>
    <mergeCell ref="D275:D277"/>
    <mergeCell ref="E275:E277"/>
    <mergeCell ref="F275:F277"/>
    <mergeCell ref="F291:F293"/>
    <mergeCell ref="D309:D311"/>
    <mergeCell ref="E309:E311"/>
    <mergeCell ref="F309:F311"/>
    <mergeCell ref="D312:D314"/>
    <mergeCell ref="E312:E314"/>
    <mergeCell ref="F312:F314"/>
    <mergeCell ref="D300:D302"/>
    <mergeCell ref="E300:E302"/>
    <mergeCell ref="F300:F302"/>
    <mergeCell ref="D303:D305"/>
    <mergeCell ref="E303:E305"/>
    <mergeCell ref="F303:F305"/>
    <mergeCell ref="D306:D308"/>
    <mergeCell ref="E306:E308"/>
    <mergeCell ref="F306:F308"/>
    <mergeCell ref="F339:F341"/>
    <mergeCell ref="M282:M285"/>
    <mergeCell ref="D333:D335"/>
    <mergeCell ref="E333:E335"/>
    <mergeCell ref="F333:F335"/>
    <mergeCell ref="D336:D338"/>
    <mergeCell ref="E336:E338"/>
    <mergeCell ref="F336:F338"/>
    <mergeCell ref="D327:D329"/>
    <mergeCell ref="E327:E329"/>
    <mergeCell ref="F327:F329"/>
    <mergeCell ref="D330:D332"/>
    <mergeCell ref="E330:E332"/>
    <mergeCell ref="F330:F332"/>
    <mergeCell ref="D321:D323"/>
    <mergeCell ref="E321:E323"/>
    <mergeCell ref="F321:F323"/>
    <mergeCell ref="D324:D326"/>
    <mergeCell ref="E324:E326"/>
    <mergeCell ref="F324:F326"/>
    <mergeCell ref="D315:D317"/>
    <mergeCell ref="E315:E317"/>
    <mergeCell ref="G339:G340"/>
    <mergeCell ref="G285:G286"/>
    <mergeCell ref="G64:G65"/>
    <mergeCell ref="G67:G68"/>
    <mergeCell ref="G70:G71"/>
    <mergeCell ref="G73:G74"/>
    <mergeCell ref="G76:G77"/>
    <mergeCell ref="G79:G80"/>
    <mergeCell ref="G82:G83"/>
    <mergeCell ref="G85:G86"/>
    <mergeCell ref="G91:G96"/>
    <mergeCell ref="G327:G328"/>
    <mergeCell ref="G330:G331"/>
    <mergeCell ref="G333:G334"/>
    <mergeCell ref="G336:G337"/>
    <mergeCell ref="G318:G319"/>
    <mergeCell ref="G321:G322"/>
    <mergeCell ref="G324:G325"/>
    <mergeCell ref="G312:G313"/>
    <mergeCell ref="G269:G270"/>
    <mergeCell ref="G272:G273"/>
    <mergeCell ref="G275:G276"/>
    <mergeCell ref="G278:G279"/>
    <mergeCell ref="G282:G283"/>
    <mergeCell ref="G288:G289"/>
    <mergeCell ref="G291:G292"/>
    <mergeCell ref="G294:G295"/>
    <mergeCell ref="G297:G298"/>
    <mergeCell ref="G300:G301"/>
    <mergeCell ref="G303:G304"/>
    <mergeCell ref="G309:G310"/>
    <mergeCell ref="G306:G307"/>
    <mergeCell ref="G113:G114"/>
    <mergeCell ref="G116:G117"/>
    <mergeCell ref="G122:G123"/>
    <mergeCell ref="G125:G126"/>
    <mergeCell ref="G242:G243"/>
    <mergeCell ref="G248:G249"/>
    <mergeCell ref="G251:G252"/>
    <mergeCell ref="G254:G255"/>
    <mergeCell ref="G211:G212"/>
    <mergeCell ref="G217:G218"/>
    <mergeCell ref="G221:G222"/>
    <mergeCell ref="G224:G225"/>
    <mergeCell ref="G227:G228"/>
    <mergeCell ref="G178:G179"/>
    <mergeCell ref="G181:G182"/>
    <mergeCell ref="G187:G188"/>
    <mergeCell ref="G230:G231"/>
    <mergeCell ref="G233:G234"/>
    <mergeCell ref="G236:G237"/>
    <mergeCell ref="G193:G194"/>
    <mergeCell ref="G196:G197"/>
    <mergeCell ref="G199:G200"/>
    <mergeCell ref="G202:G203"/>
    <mergeCell ref="G175:G176"/>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3:J43 I24:J28 I31:J31 I34:J34 I37:J37 I40:J40 I46:J46 I49:J49 I55:J55 I58:J58 I61:J61 I64:J64 I67:J67 I70:J70 I73:J73 I76:J76 I79:J79 I82:J82 I221:J221 I224:J224 I227:J227 I230:J230 I233:J233 I236:J236 I239:J239 I242:J242 I248:J248 I251:J251 I254:J254 I257:J257 I260:J260 I263:J263 I266:J266 I269:J269 I272:J272 I8:J8 I85:J85 I152:J152 I98:J98 I101:J101 I104:J104 I107:J107 I110:J110 I113:J113 I116:J116 I122:J122 I125:J125 I128:J128 I131:J131 I134:J134 I137:J137 I140:J140 I143:J143 I146:J146 I149:J149 I156:J160 I91:J95 I163:J163 I166:J166 I169:J169 I172:J172 I175:J175 I178:J178 I181:J181 I187:J187 I190:J190 I193:J193 I196:J196 I199:J199 I205:J205 I208:J208 I211:J211 I214:J214 I217:J217 I202:J202 I275:J275 I278:J278 I282:J282 I285:J285 I288:J288 I291:J291 I294:J294 I297:J297 I300:J300 I303:J303 I309:J309 I312:J312 I315:J315 I318:J318 I321:J321 I324:J324 I327:J327 I330:J330 I333:J333 I336:J336 I339:J339 I2:J2 I5:J5 I52:J52 I119:J119 I184:J184 I245:J245 I306:J30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9">
      <formula1>900</formula1>
    </dataValidation>
    <dataValidation type="textLength" operator="lessThanOrEqual" allowBlank="1" showInputMessage="1" showErrorMessage="1" errorTitle="Ошибка" error="Допускается ввод не более 900 символов!" sqref="M156 M161 M221:M222 M23 M91 M96 M282:M283">
      <formula1>900</formula1>
    </dataValidation>
    <dataValidation type="decimal" allowBlank="1" showErrorMessage="1" errorTitle="Ошибка" error="Допускается ввод только действительных чисел!" sqref="K221 K224 K227 K230 K233 K236 K239 K242 K248 K251 K254 K257 K260 K263 K266 K269 K272 K275 K10 K91:K95 K149 K146 K143 K140 K137 K134 K131 K128 K125 K122 K116 K113 K110 K107 K104 K101 K98 K156:K160 K152 K163 K166 K169 K172 K175 K178 K181 K187 K190 K193 K196 K199 K205 K208 K211 K214 K217 K202 K278 K282 K285 K288 K291 K294 K297 K300 K303 K309 K312 K315 K318 K321 K324 K327 K330 K333 K336 K339 K5 K119 K184 K245 K306">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H15" sqref="H15"/>
    </sheetView>
  </sheetViews>
  <sheetFormatPr defaultColWidth="10.5703125" defaultRowHeight="14.25" customHeight="1"/>
  <cols>
    <col min="1" max="1" width="9.140625" style="2547" hidden="1" customWidth="1"/>
    <col min="2" max="2" width="9.140625" style="2519" hidden="1" customWidth="1"/>
    <col min="3" max="3" width="3" style="2548" customWidth="1"/>
    <col min="4" max="4" width="6" style="2513" customWidth="1"/>
    <col min="5" max="5" width="53" style="2513" customWidth="1"/>
    <col min="6" max="7" width="35" style="2513" customWidth="1"/>
    <col min="8" max="8" width="89" style="2513" customWidth="1"/>
    <col min="9" max="9" width="10" style="2513" customWidth="1"/>
    <col min="10" max="11" width="10" style="2526" customWidth="1"/>
    <col min="12" max="17" width="10" style="2513" customWidth="1"/>
    <col min="18" max="18" width="10.5703125" style="2513" hidden="1"/>
  </cols>
  <sheetData>
    <row r="1" spans="1:18" ht="22.5" hidden="1" customHeight="1">
      <c r="N1" s="191"/>
      <c r="O1" s="191"/>
      <c r="Q1" s="191"/>
      <c r="R1" s="309" t="s">
        <v>14</v>
      </c>
    </row>
    <row r="2" spans="1:18" s="2513" customFormat="1" ht="18.75" hidden="1" customHeight="1">
      <c r="A2" s="41"/>
      <c r="B2" s="1078"/>
      <c r="C2" s="1647" t="s">
        <v>427</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67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675"/>
      <c r="F5" s="2675"/>
      <c r="G5" s="2676"/>
      <c r="H5" s="202"/>
      <c r="R5" s="309">
        <v>33</v>
      </c>
    </row>
    <row r="6" spans="1:18" s="2513" customFormat="1" ht="18" customHeight="1">
      <c r="A6" s="1587"/>
      <c r="B6" s="1078"/>
      <c r="C6" s="311"/>
      <c r="D6" s="2729" t="str">
        <f>IF(org=0,"Не определено",org)</f>
        <v>ООО "Ноябрьская ПГЭ"</v>
      </c>
      <c r="E6" s="2730"/>
      <c r="F6" s="2730"/>
      <c r="G6" s="2731"/>
      <c r="H6" s="202"/>
      <c r="J6" s="1542"/>
      <c r="K6" s="1542"/>
      <c r="R6" s="1549">
        <v>17</v>
      </c>
    </row>
    <row r="7" spans="1:18" ht="14.65" customHeight="1">
      <c r="C7" s="311"/>
      <c r="D7" s="298"/>
      <c r="E7" s="324"/>
      <c r="F7" s="324"/>
      <c r="G7" s="687"/>
      <c r="H7" s="129"/>
      <c r="R7" s="309">
        <v>14</v>
      </c>
    </row>
    <row r="8" spans="1:18" ht="14.65" customHeight="1">
      <c r="C8" s="311"/>
      <c r="D8" s="2724" t="s">
        <v>302</v>
      </c>
      <c r="E8" s="2724"/>
      <c r="F8" s="2724"/>
      <c r="G8" s="2724"/>
      <c r="H8" s="2868" t="s">
        <v>303</v>
      </c>
      <c r="R8" s="309">
        <v>14</v>
      </c>
    </row>
    <row r="9" spans="1:18" ht="24" customHeight="1">
      <c r="C9" s="311"/>
      <c r="D9" s="321" t="s">
        <v>87</v>
      </c>
      <c r="E9" s="47" t="s">
        <v>304</v>
      </c>
      <c r="F9" s="47" t="s">
        <v>305</v>
      </c>
      <c r="G9" s="47" t="s">
        <v>392</v>
      </c>
      <c r="H9" s="2868"/>
      <c r="R9" s="309">
        <v>23</v>
      </c>
    </row>
    <row r="10" spans="1:18" ht="18" customHeight="1">
      <c r="A10" s="279"/>
      <c r="C10" s="311"/>
      <c r="D10" s="84" t="s">
        <v>108</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t="s">
        <v>1156</v>
      </c>
      <c r="G10" s="149" t="s">
        <v>1157</v>
      </c>
      <c r="H10" s="2692" t="s">
        <v>1158</v>
      </c>
      <c r="R10" s="309">
        <v>14</v>
      </c>
    </row>
    <row r="11" spans="1:18" ht="23.25" customHeight="1">
      <c r="A11" s="279"/>
      <c r="C11" s="311"/>
      <c r="D11" s="84" t="s">
        <v>109</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t="s">
        <v>1156</v>
      </c>
      <c r="G11" s="149" t="s">
        <v>1159</v>
      </c>
      <c r="H11" s="2693"/>
      <c r="R11" s="309">
        <v>14</v>
      </c>
    </row>
    <row r="12" spans="1:18" ht="24.75" customHeight="1">
      <c r="A12" s="41"/>
      <c r="C12" s="322"/>
      <c r="D12" s="84" t="s">
        <v>89</v>
      </c>
      <c r="E12" s="323" t="str">
        <f>"Сведения о планировании закупочных процедур"&amp;IF(TEMPLATE_SPHERE="TKO"," &lt;1&gt;","")</f>
        <v>Сведения о планировании закупочных процедур</v>
      </c>
      <c r="F12" s="193" t="s">
        <v>1156</v>
      </c>
      <c r="G12" s="149" t="s">
        <v>1160</v>
      </c>
      <c r="H12" s="269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21.75" customHeight="1">
      <c r="A13" s="41"/>
      <c r="C13" s="322"/>
      <c r="D13" s="84" t="s">
        <v>90</v>
      </c>
      <c r="E13" s="323" t="str">
        <f>"Сведения о результатах проведения закупочных процедур"&amp;IF(TEMPLATE_SPHERE="TKO"," &lt;1&gt;","")</f>
        <v>Сведения о результатах проведения закупочных процедур</v>
      </c>
      <c r="F13" s="193" t="s">
        <v>1156</v>
      </c>
      <c r="G13" s="149" t="s">
        <v>1161</v>
      </c>
      <c r="H13" s="2693"/>
      <c r="I13" s="285"/>
      <c r="K13" s="309"/>
      <c r="R13" s="309">
        <v>14</v>
      </c>
    </row>
    <row r="14" spans="1:18" ht="14.65" customHeight="1">
      <c r="A14" s="279"/>
      <c r="C14" s="311"/>
      <c r="D14" s="283"/>
      <c r="E14" s="330" t="s">
        <v>324</v>
      </c>
      <c r="F14" s="284"/>
      <c r="G14" s="137"/>
      <c r="H14" s="2694"/>
      <c r="R14" s="309">
        <v>14</v>
      </c>
    </row>
    <row r="15" spans="1:18" s="2513" customFormat="1" ht="14.65" customHeight="1">
      <c r="A15" s="279"/>
      <c r="B15" s="1078"/>
      <c r="C15" s="311"/>
      <c r="D15" s="331"/>
      <c r="E15" s="1595"/>
      <c r="F15" s="1596"/>
      <c r="G15" s="1597"/>
      <c r="H15" s="1598"/>
      <c r="J15" s="1542"/>
      <c r="K15" s="1542"/>
      <c r="R15" s="1549">
        <v>14</v>
      </c>
    </row>
    <row r="16" spans="1:18" ht="14.65" customHeight="1">
      <c r="D16" s="1599"/>
      <c r="E16" s="2786"/>
      <c r="F16" s="2786"/>
      <c r="G16" s="2786"/>
      <c r="H16" s="2786"/>
      <c r="R16" s="309">
        <v>14</v>
      </c>
    </row>
    <row r="17" spans="1:18" ht="22.5" hidden="1" customHeight="1">
      <c r="A17" s="299" t="s">
        <v>81</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F4" zoomScale="90" workbookViewId="0">
      <selection activeCell="N32" sqref="N32"/>
    </sheetView>
  </sheetViews>
  <sheetFormatPr defaultColWidth="9.140625" defaultRowHeight="11.25" customHeight="1"/>
  <cols>
    <col min="1" max="2" width="3.7109375" style="2526" hidden="1" customWidth="1"/>
    <col min="3" max="3" width="3" style="2529" customWidth="1"/>
    <col min="4" max="4" width="6" style="2529" customWidth="1"/>
    <col min="5" max="5" width="42" style="2529" customWidth="1"/>
    <col min="6" max="6" width="15" style="2529" customWidth="1"/>
    <col min="7" max="7" width="42" style="2529" customWidth="1"/>
    <col min="8" max="8" width="3" style="2529" customWidth="1"/>
    <col min="9" max="9" width="5" style="2529" customWidth="1"/>
    <col min="10" max="10" width="47" style="2529" customWidth="1"/>
    <col min="11" max="12" width="3" style="2529" customWidth="1"/>
    <col min="13" max="13" width="5" style="2529" customWidth="1"/>
    <col min="14" max="14" width="28" style="2529" customWidth="1"/>
    <col min="15" max="16" width="3" style="2529" customWidth="1"/>
    <col min="17" max="17" width="5" style="2529" customWidth="1"/>
    <col min="18" max="18" width="34" style="2529" customWidth="1"/>
    <col min="19" max="20" width="3.7109375" style="2529" customWidth="1"/>
    <col min="21" max="21" width="5.7109375" style="2529" customWidth="1"/>
    <col min="22" max="22" width="34.42578125" style="2529" customWidth="1"/>
    <col min="23" max="23" width="30" style="2529" customWidth="1"/>
    <col min="24" max="24" width="3" style="2529" customWidth="1"/>
    <col min="25" max="28" width="9.85546875" style="2531" hidden="1" customWidth="1"/>
    <col min="29" max="29" width="27" style="2531" hidden="1" customWidth="1"/>
    <col min="30" max="30" width="10.5703125" style="2531" hidden="1" customWidth="1"/>
    <col min="31" max="31" width="10.7109375" style="2531" hidden="1" customWidth="1"/>
    <col min="32" max="32" width="10" style="2531" hidden="1" customWidth="1"/>
    <col min="33" max="33" width="12.85546875" style="2531" hidden="1" customWidth="1"/>
    <col min="34" max="34" width="24.42578125" style="2531" hidden="1" customWidth="1"/>
    <col min="35" max="35" width="15.85546875" style="2531" hidden="1" customWidth="1"/>
    <col min="36" max="36" width="19.42578125" style="2531" hidden="1" customWidth="1"/>
    <col min="37" max="37" width="11" style="2531" hidden="1" customWidth="1"/>
    <col min="38" max="38" width="23.5703125" style="2531" hidden="1" customWidth="1"/>
    <col min="39" max="39" width="23.85546875" style="2531" hidden="1" customWidth="1"/>
    <col min="40" max="40" width="25.28515625" style="2531" hidden="1" customWidth="1"/>
    <col min="41" max="41" width="16.85546875" style="2531" hidden="1" customWidth="1"/>
    <col min="42" max="42" width="29.5703125" style="2531" hidden="1" customWidth="1"/>
    <col min="43" max="43" width="29.85546875" style="2531" hidden="1" customWidth="1"/>
    <col min="44" max="44" width="9.140625" style="252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528" customFormat="1" ht="30.4" customHeight="1">
      <c r="A5" s="91"/>
      <c r="B5" s="91"/>
      <c r="D5" s="267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675"/>
      <c r="F5" s="2675"/>
      <c r="G5" s="2675"/>
      <c r="H5" s="2675"/>
      <c r="I5" s="2675"/>
      <c r="J5" s="2676"/>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528" customFormat="1" ht="14.65" customHeight="1">
      <c r="A6" s="520"/>
      <c r="B6" s="520"/>
      <c r="C6" s="520"/>
      <c r="D6" s="2680" t="str">
        <f>IF(org=0,"Не определено",org)</f>
        <v>ООО "Ноябрьская ПГЭ"</v>
      </c>
      <c r="E6" s="2680"/>
      <c r="F6" s="2680"/>
      <c r="G6" s="2680"/>
      <c r="H6" s="2680"/>
      <c r="I6" s="2680"/>
      <c r="J6" s="2680"/>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532" customFormat="1" ht="11.45" customHeight="1">
      <c r="A7" s="147"/>
      <c r="B7" s="147"/>
      <c r="D7" s="2677"/>
      <c r="E7" s="2678"/>
      <c r="F7" s="2678"/>
      <c r="G7" s="2678"/>
      <c r="H7" s="2678"/>
      <c r="I7" s="2678"/>
      <c r="J7" s="2679"/>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528"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638" t="s">
        <v>87</v>
      </c>
      <c r="E9" s="2610" t="s">
        <v>121</v>
      </c>
      <c r="F9" s="2609"/>
      <c r="G9" s="2638" t="s">
        <v>104</v>
      </c>
      <c r="H9" s="2638" t="s">
        <v>87</v>
      </c>
      <c r="I9" s="2638"/>
      <c r="J9" s="2638" t="s">
        <v>122</v>
      </c>
      <c r="K9" s="2672" t="s">
        <v>123</v>
      </c>
      <c r="L9" s="2672"/>
      <c r="M9" s="2672"/>
      <c r="N9" s="2672"/>
      <c r="O9" s="2672" t="s">
        <v>124</v>
      </c>
      <c r="P9" s="2672"/>
      <c r="Q9" s="2672"/>
      <c r="R9" s="2672"/>
      <c r="S9" s="2672" t="s">
        <v>125</v>
      </c>
      <c r="T9" s="2672"/>
      <c r="U9" s="2672"/>
      <c r="V9" s="2672"/>
      <c r="W9" s="2638" t="s">
        <v>126</v>
      </c>
      <c r="AR9" s="43">
        <v>27</v>
      </c>
    </row>
    <row r="10" spans="1:44" ht="31.5" customHeight="1">
      <c r="D10" s="2638"/>
      <c r="E10" s="1202" t="s">
        <v>88</v>
      </c>
      <c r="F10" s="1202" t="s">
        <v>127</v>
      </c>
      <c r="G10" s="2638"/>
      <c r="H10" s="2638"/>
      <c r="I10" s="2638"/>
      <c r="J10" s="2638"/>
      <c r="K10" s="49" t="s">
        <v>107</v>
      </c>
      <c r="L10" s="2638" t="s">
        <v>87</v>
      </c>
      <c r="M10" s="2638"/>
      <c r="N10" s="49" t="s">
        <v>128</v>
      </c>
      <c r="O10" s="49" t="s">
        <v>107</v>
      </c>
      <c r="P10" s="2638" t="s">
        <v>87</v>
      </c>
      <c r="Q10" s="2638"/>
      <c r="R10" s="49" t="s">
        <v>128</v>
      </c>
      <c r="S10" s="219" t="s">
        <v>107</v>
      </c>
      <c r="T10" s="2638" t="s">
        <v>87</v>
      </c>
      <c r="U10" s="2638"/>
      <c r="V10" s="219" t="s">
        <v>88</v>
      </c>
      <c r="W10" s="2638"/>
      <c r="Z10" s="1177" t="s">
        <v>129</v>
      </c>
      <c r="AA10" s="1177" t="s">
        <v>130</v>
      </c>
      <c r="AB10" s="1177" t="s">
        <v>131</v>
      </c>
      <c r="AC10" s="1177" t="s">
        <v>132</v>
      </c>
      <c r="AD10" s="1177" t="s">
        <v>133</v>
      </c>
      <c r="AE10" s="1177" t="s">
        <v>134</v>
      </c>
      <c r="AF10" s="1177" t="s">
        <v>135</v>
      </c>
      <c r="AG10" s="1177" t="s">
        <v>136</v>
      </c>
      <c r="AH10" s="1177" t="s">
        <v>137</v>
      </c>
      <c r="AI10" s="1177" t="s">
        <v>138</v>
      </c>
      <c r="AJ10" s="1177" t="s">
        <v>139</v>
      </c>
      <c r="AK10" s="1177" t="s">
        <v>140</v>
      </c>
      <c r="AL10" s="1177" t="s">
        <v>141</v>
      </c>
      <c r="AM10" s="1177" t="s">
        <v>142</v>
      </c>
      <c r="AN10" s="1177" t="s">
        <v>143</v>
      </c>
      <c r="AO10" s="1177" t="s">
        <v>144</v>
      </c>
      <c r="AP10" s="1177" t="s">
        <v>145</v>
      </c>
      <c r="AQ10" s="1177" t="s">
        <v>146</v>
      </c>
      <c r="AR10" s="43">
        <v>30</v>
      </c>
    </row>
    <row r="11" spans="1:44" s="2526" customFormat="1" ht="12" hidden="1" customHeight="1">
      <c r="D11" s="1167" t="s">
        <v>108</v>
      </c>
      <c r="E11" s="1167" t="s">
        <v>109</v>
      </c>
      <c r="F11" s="1167"/>
      <c r="G11" s="1167" t="s">
        <v>89</v>
      </c>
      <c r="H11" s="2673" t="s">
        <v>110</v>
      </c>
      <c r="I11" s="2673"/>
      <c r="J11" s="1167" t="s">
        <v>91</v>
      </c>
      <c r="K11" s="1167" t="s">
        <v>92</v>
      </c>
      <c r="L11" s="2673" t="s">
        <v>111</v>
      </c>
      <c r="M11" s="2673"/>
      <c r="N11" s="1167" t="s">
        <v>147</v>
      </c>
      <c r="O11" s="1167" t="s">
        <v>148</v>
      </c>
      <c r="P11" s="2673" t="s">
        <v>149</v>
      </c>
      <c r="Q11" s="2673"/>
      <c r="R11" s="1167" t="s">
        <v>98</v>
      </c>
      <c r="S11" s="1167" t="s">
        <v>149</v>
      </c>
      <c r="T11" s="2673" t="s">
        <v>98</v>
      </c>
      <c r="U11" s="2673"/>
      <c r="V11" s="1167" t="s">
        <v>150</v>
      </c>
      <c r="W11" s="1167" t="s">
        <v>151</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529" customFormat="1" ht="17.25" customHeight="1">
      <c r="A13" s="257"/>
      <c r="C13" s="145"/>
      <c r="D13" s="2659">
        <v>1</v>
      </c>
      <c r="E13" s="2660" t="s">
        <v>152</v>
      </c>
      <c r="F13" s="2662" t="s">
        <v>66</v>
      </c>
      <c r="G13" s="2681"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H13" s="2683"/>
      <c r="I13" s="2683">
        <v>1</v>
      </c>
      <c r="J13" s="2651" t="s">
        <v>153</v>
      </c>
      <c r="K13" s="2647" t="s">
        <v>19</v>
      </c>
      <c r="L13" s="2620"/>
      <c r="M13" s="2620" t="s">
        <v>108</v>
      </c>
      <c r="N13" s="2650" t="s">
        <v>28</v>
      </c>
      <c r="O13" s="2647" t="s">
        <v>19</v>
      </c>
      <c r="P13" s="2620"/>
      <c r="Q13" s="2620" t="s">
        <v>108</v>
      </c>
      <c r="R13" s="2646" t="s">
        <v>28</v>
      </c>
      <c r="S13" s="2619" t="s">
        <v>19</v>
      </c>
      <c r="T13" s="2008"/>
      <c r="U13" s="2008" t="s">
        <v>108</v>
      </c>
      <c r="V13" s="2009" t="s">
        <v>28</v>
      </c>
      <c r="W13" s="2007"/>
      <c r="Y13" s="1185"/>
      <c r="Z13" s="1185"/>
      <c r="AA13" s="1185"/>
      <c r="AB13" s="1185" t="s">
        <v>154</v>
      </c>
      <c r="AC13" s="1185" t="s">
        <v>155</v>
      </c>
      <c r="AD13" s="1185" t="s">
        <v>156</v>
      </c>
      <c r="AE13" s="1185" t="s">
        <v>157</v>
      </c>
      <c r="AF13" s="1185" t="s">
        <v>158</v>
      </c>
      <c r="AG13" s="1185" t="s">
        <v>159</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Производство тепловой энергии. Комбинированная выработка с уст. мощностью производства электрической энергии 25 МВт и более</v>
      </c>
      <c r="AJ13" s="1185" t="str">
        <f>IF($J$13=0,"",$J$13)</f>
        <v>Долгосрочный тариф на тепловую энергию для потребителей ООО "Ноябрьская ПГЭ" на 2025 - 2029 годы</v>
      </c>
      <c r="AK13" s="1185" t="str">
        <f>IF($K$13="нет","без дифференциации",IF($N$13=0,"",$N$13))</f>
        <v>без дифференциации</v>
      </c>
      <c r="AL13" s="1185" t="str">
        <f>IF($O$13="нет","без дифференциации",IF($R$13=0,"",$R$13))</f>
        <v>без дифференциации</v>
      </c>
      <c r="AM13" s="1185" t="str">
        <f>IF($S$13="нет","без дифференциации",IF($V$13=0,"",$V$13))</f>
        <v>без дифференциации</v>
      </c>
      <c r="AN13" s="1185">
        <f>$I$13</f>
        <v>1</v>
      </c>
      <c r="AO13" s="1185" t="str">
        <f>$I$13&amp;"."&amp;$M$13</f>
        <v>1.1</v>
      </c>
      <c r="AP13" s="1185" t="str">
        <f>$I$13&amp;"."&amp;$M$13&amp;"."&amp;$Q$13</f>
        <v>1.1.1</v>
      </c>
      <c r="AQ13" s="1185" t="str">
        <f>$I$13&amp;"."&amp;$M$13&amp;"."&amp;$Q$13&amp;"."&amp;$U$13</f>
        <v>1.1.1.1</v>
      </c>
      <c r="AR13" s="685">
        <v>0</v>
      </c>
    </row>
    <row r="14" spans="1:44" s="2529" customFormat="1" ht="17.25" customHeight="1">
      <c r="A14" s="257"/>
      <c r="C14" s="256"/>
      <c r="D14" s="2659"/>
      <c r="E14" s="2660"/>
      <c r="F14" s="2663"/>
      <c r="G14" s="2681"/>
      <c r="H14" s="2683"/>
      <c r="I14" s="2683"/>
      <c r="J14" s="2651"/>
      <c r="K14" s="2648"/>
      <c r="L14" s="2620"/>
      <c r="M14" s="2620"/>
      <c r="N14" s="2650" t="s">
        <v>28</v>
      </c>
      <c r="O14" s="2648"/>
      <c r="P14" s="2620"/>
      <c r="Q14" s="2620"/>
      <c r="R14" s="2646" t="s">
        <v>28</v>
      </c>
      <c r="S14" s="2619"/>
      <c r="T14" s="2010"/>
      <c r="U14" s="2011"/>
      <c r="V14" s="2012" t="s">
        <v>160</v>
      </c>
      <c r="W14" s="2013"/>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529" customFormat="1" ht="17.25" customHeight="1">
      <c r="A15" s="257"/>
      <c r="C15" s="145"/>
      <c r="D15" s="2659"/>
      <c r="E15" s="2660"/>
      <c r="F15" s="2663"/>
      <c r="G15" s="2681"/>
      <c r="H15" s="2649"/>
      <c r="I15" s="2649"/>
      <c r="J15" s="2652"/>
      <c r="K15" s="2648"/>
      <c r="L15" s="2649"/>
      <c r="M15" s="2649"/>
      <c r="N15" s="2646" t="s">
        <v>28</v>
      </c>
      <c r="O15" s="2624"/>
      <c r="P15" s="2014"/>
      <c r="Q15" s="2015"/>
      <c r="R15" s="2016" t="s">
        <v>161</v>
      </c>
      <c r="S15" s="2017"/>
      <c r="T15" s="2018"/>
      <c r="U15" s="2019"/>
      <c r="V15" s="2020"/>
      <c r="W15" s="2021"/>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529" customFormat="1" ht="17.25" customHeight="1">
      <c r="A16" s="257"/>
      <c r="C16" s="256"/>
      <c r="D16" s="2659"/>
      <c r="E16" s="2660"/>
      <c r="F16" s="2663"/>
      <c r="G16" s="2681"/>
      <c r="H16" s="2649"/>
      <c r="I16" s="2649"/>
      <c r="J16" s="2652"/>
      <c r="K16" s="2624"/>
      <c r="L16" s="2022"/>
      <c r="M16" s="2023"/>
      <c r="N16" s="2024" t="s">
        <v>162</v>
      </c>
      <c r="O16" s="2025"/>
      <c r="P16" s="2026"/>
      <c r="Q16" s="2027"/>
      <c r="R16" s="2028"/>
      <c r="S16" s="2029"/>
      <c r="T16" s="2030"/>
      <c r="U16" s="2031"/>
      <c r="V16" s="2032"/>
      <c r="W16" s="2033"/>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529" customFormat="1" ht="17.25" customHeight="1">
      <c r="A17" s="257"/>
      <c r="C17" s="256"/>
      <c r="D17" s="2649"/>
      <c r="E17" s="2661"/>
      <c r="F17" s="2664"/>
      <c r="G17" s="2682"/>
      <c r="H17" s="2034"/>
      <c r="I17" s="2035"/>
      <c r="J17" s="2036" t="s">
        <v>163</v>
      </c>
      <c r="K17" s="2037"/>
      <c r="L17" s="2038"/>
      <c r="M17" s="2039"/>
      <c r="N17" s="2040"/>
      <c r="O17" s="2041"/>
      <c r="P17" s="2042"/>
      <c r="Q17" s="2043"/>
      <c r="R17" s="2044"/>
      <c r="S17" s="2045"/>
      <c r="T17" s="2046"/>
      <c r="U17" s="2047"/>
      <c r="V17" s="2048"/>
      <c r="W17" s="2049"/>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529" customFormat="1" ht="17.25" customHeight="1">
      <c r="A18" s="257"/>
      <c r="C18" s="145"/>
      <c r="D18" s="2659">
        <v>2</v>
      </c>
      <c r="E18" s="2684" t="s">
        <v>164</v>
      </c>
      <c r="F18" s="2662" t="s">
        <v>19</v>
      </c>
      <c r="G18" s="2660"/>
      <c r="H18" s="2665"/>
      <c r="I18" s="2667"/>
      <c r="J18" s="2669"/>
      <c r="K18" s="2653"/>
      <c r="L18" s="2653"/>
      <c r="M18" s="2653"/>
      <c r="N18" s="2655"/>
      <c r="O18" s="2653"/>
      <c r="P18" s="2653"/>
      <c r="Q18" s="2653"/>
      <c r="R18" s="2658"/>
      <c r="S18" s="2653"/>
      <c r="T18" s="1338"/>
      <c r="U18" s="1338"/>
      <c r="V18" s="1337"/>
      <c r="W18" s="1214"/>
      <c r="X18" s="1185"/>
      <c r="Y18" s="1185"/>
      <c r="Z18" s="1185"/>
      <c r="AA18" s="1185"/>
      <c r="AB18" s="1185"/>
      <c r="AC18" s="1185" t="s">
        <v>165</v>
      </c>
      <c r="AD18" s="1185" t="s">
        <v>166</v>
      </c>
      <c r="AE18" s="1185" t="s">
        <v>167</v>
      </c>
      <c r="AF18" s="1185" t="s">
        <v>168</v>
      </c>
      <c r="AG18" s="1185" t="s">
        <v>169</v>
      </c>
      <c r="AH18" s="1185"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9">
        <f>$I$18</f>
        <v>0</v>
      </c>
      <c r="AO18" s="1185" t="str">
        <f>$I$18&amp;"."&amp;$M$18</f>
        <v>.</v>
      </c>
      <c r="AP18" s="1177" t="str">
        <f>$I$18&amp;"."&amp;$M$18&amp;"."&amp;$Q$18</f>
        <v>..</v>
      </c>
      <c r="AQ18" s="1177" t="str">
        <f>$I$18&amp;"."&amp;$M$18&amp;"."&amp;$Q$18&amp;"."&amp;$U$18</f>
        <v>...</v>
      </c>
      <c r="AR18" s="1201">
        <v>0</v>
      </c>
    </row>
    <row r="19" spans="1:44" s="2529" customFormat="1" ht="17.25" customHeight="1">
      <c r="A19" s="257"/>
      <c r="C19" s="256"/>
      <c r="D19" s="2659"/>
      <c r="E19" s="2684"/>
      <c r="F19" s="2663"/>
      <c r="G19" s="2660"/>
      <c r="H19" s="2666"/>
      <c r="I19" s="2668"/>
      <c r="J19" s="2670"/>
      <c r="K19" s="2654"/>
      <c r="L19" s="2654"/>
      <c r="M19" s="2654"/>
      <c r="N19" s="2656"/>
      <c r="O19" s="2654"/>
      <c r="P19" s="2654"/>
      <c r="Q19" s="2654"/>
      <c r="R19" s="2657"/>
      <c r="S19" s="2654"/>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529" customFormat="1" ht="17.25" customHeight="1">
      <c r="A20" s="257"/>
      <c r="C20" s="256"/>
      <c r="D20" s="2649"/>
      <c r="E20" s="2685"/>
      <c r="F20" s="2663"/>
      <c r="G20" s="2661"/>
      <c r="H20" s="2666"/>
      <c r="I20" s="2668"/>
      <c r="J20" s="2671"/>
      <c r="K20" s="2654"/>
      <c r="L20" s="2654"/>
      <c r="M20" s="2654"/>
      <c r="N20" s="2657"/>
      <c r="O20" s="2654"/>
      <c r="P20" s="1336"/>
      <c r="Q20" s="1215"/>
      <c r="R20" s="1215"/>
      <c r="S20" s="265"/>
      <c r="T20" s="265"/>
      <c r="U20" s="265"/>
      <c r="V20" s="265"/>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529" customFormat="1" ht="17.25" customHeight="1">
      <c r="A21" s="257"/>
      <c r="C21" s="256"/>
      <c r="D21" s="2649"/>
      <c r="E21" s="2685"/>
      <c r="F21" s="2663"/>
      <c r="G21" s="2661"/>
      <c r="H21" s="2666"/>
      <c r="I21" s="2668"/>
      <c r="J21" s="2671"/>
      <c r="K21" s="2654"/>
      <c r="L21" s="1215"/>
      <c r="M21" s="1215"/>
      <c r="N21" s="1215"/>
      <c r="O21" s="1215"/>
      <c r="P21" s="1215"/>
      <c r="Q21" s="1215"/>
      <c r="R21" s="1215"/>
      <c r="S21" s="265"/>
      <c r="T21" s="265"/>
      <c r="U21" s="265"/>
      <c r="V21" s="265"/>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529" customFormat="1" ht="17.25" customHeight="1">
      <c r="A22" s="257"/>
      <c r="C22" s="256"/>
      <c r="D22" s="2649"/>
      <c r="E22" s="2685"/>
      <c r="F22" s="2664"/>
      <c r="G22" s="2661"/>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529" customFormat="1" ht="17.25" hidden="1" customHeight="1">
      <c r="A23" s="257"/>
      <c r="C23" s="145"/>
      <c r="D23" s="2659">
        <v>2</v>
      </c>
      <c r="E23" s="2660" t="s">
        <v>164</v>
      </c>
      <c r="F23" s="2662" t="s">
        <v>19</v>
      </c>
      <c r="G23" s="2660"/>
      <c r="H23" s="2665"/>
      <c r="I23" s="2667"/>
      <c r="J23" s="2669"/>
      <c r="K23" s="2653"/>
      <c r="L23" s="2653"/>
      <c r="M23" s="2653"/>
      <c r="N23" s="2655"/>
      <c r="O23" s="2653"/>
      <c r="P23" s="2653"/>
      <c r="Q23" s="2653"/>
      <c r="R23" s="2658"/>
      <c r="S23" s="2653"/>
      <c r="T23" s="1910"/>
      <c r="U23" s="1910"/>
      <c r="V23" s="1912"/>
      <c r="W23" s="1214"/>
      <c r="X23" s="1185"/>
      <c r="Y23" s="1185"/>
      <c r="Z23" s="1185" t="s">
        <v>28</v>
      </c>
      <c r="AA23" s="1185" t="s">
        <v>28</v>
      </c>
      <c r="AB23" s="1185" t="s">
        <v>28</v>
      </c>
      <c r="AC23" s="1185" t="s">
        <v>28</v>
      </c>
      <c r="AD23" s="1185" t="s">
        <v>28</v>
      </c>
      <c r="AE23" s="1185" t="s">
        <v>28</v>
      </c>
      <c r="AF23" s="1185" t="s">
        <v>28</v>
      </c>
      <c r="AG23" s="1185" t="s">
        <v>28</v>
      </c>
      <c r="AH23" s="1185" t="s">
        <v>28</v>
      </c>
      <c r="AI23" s="1185" t="s">
        <v>28</v>
      </c>
      <c r="AJ23" s="1185" t="s">
        <v>28</v>
      </c>
      <c r="AK23" s="1185" t="s">
        <v>28</v>
      </c>
      <c r="AL23" s="1185" t="s">
        <v>28</v>
      </c>
      <c r="AM23" s="1185" t="s">
        <v>28</v>
      </c>
      <c r="AN23" s="1689" t="s">
        <v>28</v>
      </c>
      <c r="AO23" s="1185" t="s">
        <v>28</v>
      </c>
      <c r="AP23" s="1184" t="s">
        <v>28</v>
      </c>
      <c r="AQ23" s="1184" t="s">
        <v>28</v>
      </c>
      <c r="AR23" s="1385">
        <v>0</v>
      </c>
    </row>
    <row r="24" spans="1:44" s="2529" customFormat="1" ht="17.25" hidden="1" customHeight="1">
      <c r="A24" s="257"/>
      <c r="C24" s="256"/>
      <c r="D24" s="2659"/>
      <c r="E24" s="2660"/>
      <c r="F24" s="2663"/>
      <c r="G24" s="2660"/>
      <c r="H24" s="2666"/>
      <c r="I24" s="2668"/>
      <c r="J24" s="2670"/>
      <c r="K24" s="2654"/>
      <c r="L24" s="2654"/>
      <c r="M24" s="2654"/>
      <c r="N24" s="2656"/>
      <c r="O24" s="2654"/>
      <c r="P24" s="2654"/>
      <c r="Q24" s="2654"/>
      <c r="R24" s="2657"/>
      <c r="S24" s="2654"/>
      <c r="T24" s="1915"/>
      <c r="U24" s="1915"/>
      <c r="V24" s="1915"/>
      <c r="W24" s="1916"/>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529" customFormat="1" ht="17.25" hidden="1" customHeight="1">
      <c r="A25" s="257"/>
      <c r="C25" s="256"/>
      <c r="D25" s="2649"/>
      <c r="E25" s="2661"/>
      <c r="F25" s="2663"/>
      <c r="G25" s="2661"/>
      <c r="H25" s="2666"/>
      <c r="I25" s="2668"/>
      <c r="J25" s="2671"/>
      <c r="K25" s="2654"/>
      <c r="L25" s="2654"/>
      <c r="M25" s="2654"/>
      <c r="N25" s="2657"/>
      <c r="O25" s="2654"/>
      <c r="P25" s="1911"/>
      <c r="Q25" s="1915"/>
      <c r="R25" s="1915"/>
      <c r="S25" s="265"/>
      <c r="T25" s="265"/>
      <c r="U25" s="265"/>
      <c r="V25" s="265"/>
      <c r="W25" s="1916"/>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529" customFormat="1" ht="17.25" hidden="1" customHeight="1">
      <c r="A26" s="257"/>
      <c r="C26" s="256"/>
      <c r="D26" s="2649"/>
      <c r="E26" s="2661"/>
      <c r="F26" s="2663"/>
      <c r="G26" s="2661"/>
      <c r="H26" s="2666"/>
      <c r="I26" s="2668"/>
      <c r="J26" s="2671"/>
      <c r="K26" s="2654"/>
      <c r="L26" s="1915"/>
      <c r="M26" s="1915"/>
      <c r="N26" s="1915"/>
      <c r="O26" s="1915"/>
      <c r="P26" s="1915"/>
      <c r="Q26" s="1915"/>
      <c r="R26" s="1915"/>
      <c r="S26" s="265"/>
      <c r="T26" s="265"/>
      <c r="U26" s="265"/>
      <c r="V26" s="265"/>
      <c r="W26" s="1916"/>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529" customFormat="1" ht="17.25" hidden="1" customHeight="1">
      <c r="A27" s="257"/>
      <c r="C27" s="256"/>
      <c r="D27" s="2649"/>
      <c r="E27" s="2661"/>
      <c r="F27" s="2664"/>
      <c r="G27" s="2661"/>
      <c r="H27" s="1217"/>
      <c r="I27" s="1913"/>
      <c r="J27" s="1913"/>
      <c r="K27" s="1913"/>
      <c r="L27" s="1913"/>
      <c r="M27" s="1913"/>
      <c r="N27" s="1913"/>
      <c r="O27" s="1913"/>
      <c r="P27" s="1913"/>
      <c r="Q27" s="1913"/>
      <c r="R27" s="1913"/>
      <c r="S27" s="1219"/>
      <c r="T27" s="1219"/>
      <c r="U27" s="1219"/>
      <c r="V27" s="1219"/>
      <c r="W27" s="1914"/>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529" customFormat="1" ht="17.25" customHeight="1">
      <c r="A28" s="257"/>
      <c r="C28" s="145"/>
      <c r="D28" s="2659">
        <v>3</v>
      </c>
      <c r="E28" s="2660" t="s">
        <v>170</v>
      </c>
      <c r="F28" s="2662" t="s">
        <v>19</v>
      </c>
      <c r="G28" s="2660"/>
      <c r="H28" s="2665"/>
      <c r="I28" s="2667"/>
      <c r="J28" s="2669"/>
      <c r="K28" s="2653"/>
      <c r="L28" s="2653"/>
      <c r="M28" s="2653"/>
      <c r="N28" s="2655"/>
      <c r="O28" s="2653"/>
      <c r="P28" s="2653"/>
      <c r="Q28" s="2653"/>
      <c r="R28" s="2658"/>
      <c r="S28" s="2653"/>
      <c r="T28" s="1338"/>
      <c r="U28" s="1338"/>
      <c r="V28" s="1337"/>
      <c r="W28" s="1214"/>
      <c r="X28" s="1185"/>
      <c r="Y28" s="1185"/>
      <c r="Z28" s="1185"/>
      <c r="AA28" s="1185"/>
      <c r="AB28" s="1185"/>
      <c r="AC28" s="1185" t="s">
        <v>171</v>
      </c>
      <c r="AD28" s="1185" t="s">
        <v>172</v>
      </c>
      <c r="AE28" s="1185" t="s">
        <v>173</v>
      </c>
      <c r="AF28" s="1185" t="s">
        <v>174</v>
      </c>
      <c r="AG28" s="1185" t="s">
        <v>175</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9">
        <f>$I$28</f>
        <v>0</v>
      </c>
      <c r="AO28" s="1185" t="str">
        <f>$I$28&amp;"."&amp;$M$28</f>
        <v>.</v>
      </c>
      <c r="AP28" s="1177" t="str">
        <f>$I$28&amp;"."&amp;$M$28&amp;"."&amp;$Q$28</f>
        <v>..</v>
      </c>
      <c r="AQ28" s="1177" t="str">
        <f>$I$28&amp;"."&amp;$M$28&amp;"."&amp;$Q$28&amp;"."&amp;$U$28</f>
        <v>...</v>
      </c>
      <c r="AR28" s="1201">
        <v>0</v>
      </c>
    </row>
    <row r="29" spans="1:44" s="2529" customFormat="1" ht="17.25" customHeight="1">
      <c r="A29" s="257"/>
      <c r="C29" s="256"/>
      <c r="D29" s="2659"/>
      <c r="E29" s="2660"/>
      <c r="F29" s="2663"/>
      <c r="G29" s="2660"/>
      <c r="H29" s="2666"/>
      <c r="I29" s="2668"/>
      <c r="J29" s="2670"/>
      <c r="K29" s="2654"/>
      <c r="L29" s="2654"/>
      <c r="M29" s="2654"/>
      <c r="N29" s="2656"/>
      <c r="O29" s="2654"/>
      <c r="P29" s="2654"/>
      <c r="Q29" s="2654"/>
      <c r="R29" s="2657"/>
      <c r="S29" s="2654"/>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529" customFormat="1" ht="17.25" customHeight="1">
      <c r="A30" s="257"/>
      <c r="C30" s="256"/>
      <c r="D30" s="2649"/>
      <c r="E30" s="2661"/>
      <c r="F30" s="2663"/>
      <c r="G30" s="2661"/>
      <c r="H30" s="2666"/>
      <c r="I30" s="2668"/>
      <c r="J30" s="2671"/>
      <c r="K30" s="2654"/>
      <c r="L30" s="2654"/>
      <c r="M30" s="2654"/>
      <c r="N30" s="2657"/>
      <c r="O30" s="2654"/>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529" customFormat="1" ht="17.25" customHeight="1">
      <c r="A31" s="257"/>
      <c r="C31" s="256"/>
      <c r="D31" s="2649"/>
      <c r="E31" s="2661"/>
      <c r="F31" s="2663"/>
      <c r="G31" s="2661"/>
      <c r="H31" s="2666"/>
      <c r="I31" s="2668"/>
      <c r="J31" s="2671"/>
      <c r="K31" s="2654"/>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529" customFormat="1" ht="17.25" customHeight="1">
      <c r="A32" s="257"/>
      <c r="C32" s="256"/>
      <c r="D32" s="2649"/>
      <c r="E32" s="2661"/>
      <c r="F32" s="2664"/>
      <c r="G32" s="2661"/>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529" customFormat="1" ht="17.25" customHeight="1">
      <c r="A33" s="257"/>
      <c r="C33" s="145"/>
      <c r="D33" s="2659">
        <v>4</v>
      </c>
      <c r="E33" s="2660" t="s">
        <v>176</v>
      </c>
      <c r="F33" s="2662" t="s">
        <v>19</v>
      </c>
      <c r="G33" s="2660"/>
      <c r="H33" s="2665"/>
      <c r="I33" s="2667"/>
      <c r="J33" s="2669"/>
      <c r="K33" s="2653"/>
      <c r="L33" s="2653"/>
      <c r="M33" s="2653"/>
      <c r="N33" s="2655"/>
      <c r="O33" s="2653"/>
      <c r="P33" s="2653"/>
      <c r="Q33" s="2653"/>
      <c r="R33" s="2658"/>
      <c r="S33" s="2653"/>
      <c r="T33" s="1338"/>
      <c r="U33" s="1338"/>
      <c r="V33" s="1337"/>
      <c r="W33" s="1214"/>
      <c r="X33" s="1185"/>
      <c r="Y33" s="1185"/>
      <c r="Z33" s="1185"/>
      <c r="AA33" s="1185"/>
      <c r="AB33" s="1185"/>
      <c r="AC33" s="1185" t="s">
        <v>177</v>
      </c>
      <c r="AD33" s="1185" t="s">
        <v>178</v>
      </c>
      <c r="AE33" s="1185" t="s">
        <v>179</v>
      </c>
      <c r="AF33" s="1185" t="s">
        <v>180</v>
      </c>
      <c r="AG33" s="1185" t="s">
        <v>181</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9">
        <f>$I$33</f>
        <v>0</v>
      </c>
      <c r="AO33" s="1185" t="str">
        <f>$I$33&amp;"."&amp;$M$33</f>
        <v>.</v>
      </c>
      <c r="AP33" s="1177" t="str">
        <f>$I$33&amp;"."&amp;$M$33&amp;"."&amp;$Q$33</f>
        <v>..</v>
      </c>
      <c r="AQ33" s="1177" t="str">
        <f>$I$33&amp;"."&amp;$M$33&amp;"."&amp;$Q$33&amp;"."&amp;$U$33</f>
        <v>...</v>
      </c>
      <c r="AR33" s="1201">
        <v>0</v>
      </c>
    </row>
    <row r="34" spans="1:44" s="2529" customFormat="1" ht="17.25" customHeight="1">
      <c r="A34" s="257"/>
      <c r="C34" s="256"/>
      <c r="D34" s="2659"/>
      <c r="E34" s="2660"/>
      <c r="F34" s="2663"/>
      <c r="G34" s="2660"/>
      <c r="H34" s="2666"/>
      <c r="I34" s="2668"/>
      <c r="J34" s="2670"/>
      <c r="K34" s="2654"/>
      <c r="L34" s="2654"/>
      <c r="M34" s="2654"/>
      <c r="N34" s="2656"/>
      <c r="O34" s="2654"/>
      <c r="P34" s="2654"/>
      <c r="Q34" s="2654"/>
      <c r="R34" s="2657"/>
      <c r="S34" s="2654"/>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529" customFormat="1" ht="17.25" customHeight="1">
      <c r="A35" s="257"/>
      <c r="C35" s="256"/>
      <c r="D35" s="2649"/>
      <c r="E35" s="2661"/>
      <c r="F35" s="2663"/>
      <c r="G35" s="2661"/>
      <c r="H35" s="2666"/>
      <c r="I35" s="2668"/>
      <c r="J35" s="2671"/>
      <c r="K35" s="2654"/>
      <c r="L35" s="2654"/>
      <c r="M35" s="2654"/>
      <c r="N35" s="2657"/>
      <c r="O35" s="2654"/>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529" customFormat="1" ht="17.25" customHeight="1">
      <c r="A36" s="257"/>
      <c r="C36" s="256"/>
      <c r="D36" s="2649"/>
      <c r="E36" s="2661"/>
      <c r="F36" s="2663"/>
      <c r="G36" s="2661"/>
      <c r="H36" s="2666"/>
      <c r="I36" s="2668"/>
      <c r="J36" s="2671"/>
      <c r="K36" s="2654"/>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529" customFormat="1" ht="17.25" customHeight="1">
      <c r="A37" s="257"/>
      <c r="C37" s="256"/>
      <c r="D37" s="2649"/>
      <c r="E37" s="2661"/>
      <c r="F37" s="2664"/>
      <c r="G37" s="2661"/>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529" customFormat="1" ht="17.25" customHeight="1">
      <c r="A38" s="257"/>
      <c r="C38" s="145"/>
      <c r="D38" s="2659">
        <v>5</v>
      </c>
      <c r="E38" s="2660" t="s">
        <v>182</v>
      </c>
      <c r="F38" s="2662" t="s">
        <v>19</v>
      </c>
      <c r="G38" s="2660"/>
      <c r="H38" s="2665"/>
      <c r="I38" s="2667"/>
      <c r="J38" s="2669"/>
      <c r="K38" s="2653"/>
      <c r="L38" s="2653"/>
      <c r="M38" s="2653"/>
      <c r="N38" s="2655"/>
      <c r="O38" s="2653"/>
      <c r="P38" s="2653"/>
      <c r="Q38" s="2653"/>
      <c r="R38" s="2658"/>
      <c r="S38" s="2653"/>
      <c r="T38" s="1338"/>
      <c r="U38" s="1338"/>
      <c r="V38" s="1337"/>
      <c r="W38" s="1214"/>
      <c r="X38" s="1185"/>
      <c r="Y38" s="1185"/>
      <c r="Z38" s="1185"/>
      <c r="AA38" s="1185"/>
      <c r="AB38" s="1185"/>
      <c r="AC38" s="1185" t="s">
        <v>183</v>
      </c>
      <c r="AD38" s="1185" t="s">
        <v>184</v>
      </c>
      <c r="AE38" s="1185" t="s">
        <v>185</v>
      </c>
      <c r="AF38" s="1185" t="s">
        <v>186</v>
      </c>
      <c r="AG38" s="1185" t="s">
        <v>187</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9">
        <f>$I$38</f>
        <v>0</v>
      </c>
      <c r="AO38" s="1185" t="str">
        <f>$I$38&amp;"."&amp;$M$38</f>
        <v>.</v>
      </c>
      <c r="AP38" s="1177" t="str">
        <f>$I$38&amp;"."&amp;$M$38&amp;"."&amp;$Q$38</f>
        <v>..</v>
      </c>
      <c r="AQ38" s="1177" t="str">
        <f>$I$38&amp;"."&amp;$M$38&amp;"."&amp;$Q$38&amp;"."&amp;$U$38</f>
        <v>...</v>
      </c>
      <c r="AR38" s="1201">
        <v>0</v>
      </c>
    </row>
    <row r="39" spans="1:44" s="2529" customFormat="1" ht="17.25" customHeight="1">
      <c r="A39" s="257"/>
      <c r="C39" s="256"/>
      <c r="D39" s="2659"/>
      <c r="E39" s="2660"/>
      <c r="F39" s="2663"/>
      <c r="G39" s="2660"/>
      <c r="H39" s="2666"/>
      <c r="I39" s="2668"/>
      <c r="J39" s="2670"/>
      <c r="K39" s="2654"/>
      <c r="L39" s="2654"/>
      <c r="M39" s="2654"/>
      <c r="N39" s="2656"/>
      <c r="O39" s="2654"/>
      <c r="P39" s="2654"/>
      <c r="Q39" s="2654"/>
      <c r="R39" s="2657"/>
      <c r="S39" s="2654"/>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529" customFormat="1" ht="17.25" customHeight="1">
      <c r="A40" s="257"/>
      <c r="C40" s="256"/>
      <c r="D40" s="2649"/>
      <c r="E40" s="2661"/>
      <c r="F40" s="2663"/>
      <c r="G40" s="2661"/>
      <c r="H40" s="2666"/>
      <c r="I40" s="2668"/>
      <c r="J40" s="2671"/>
      <c r="K40" s="2654"/>
      <c r="L40" s="2654"/>
      <c r="M40" s="2654"/>
      <c r="N40" s="2657"/>
      <c r="O40" s="2654"/>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529" customFormat="1" ht="17.25" customHeight="1">
      <c r="A41" s="257"/>
      <c r="C41" s="256"/>
      <c r="D41" s="2649"/>
      <c r="E41" s="2661"/>
      <c r="F41" s="2663"/>
      <c r="G41" s="2661"/>
      <c r="H41" s="2666"/>
      <c r="I41" s="2668"/>
      <c r="J41" s="2671"/>
      <c r="K41" s="2654"/>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529" customFormat="1" ht="17.25" customHeight="1">
      <c r="A42" s="257"/>
      <c r="C42" s="256"/>
      <c r="D42" s="2649"/>
      <c r="E42" s="2661"/>
      <c r="F42" s="2664"/>
      <c r="G42" s="2661"/>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529" customFormat="1" ht="17.25" customHeight="1">
      <c r="A43" s="257"/>
      <c r="C43" s="145"/>
      <c r="D43" s="2659">
        <v>6</v>
      </c>
      <c r="E43" s="2660" t="s">
        <v>188</v>
      </c>
      <c r="F43" s="2662" t="s">
        <v>19</v>
      </c>
      <c r="G43" s="2660"/>
      <c r="H43" s="2665"/>
      <c r="I43" s="2667"/>
      <c r="J43" s="2669"/>
      <c r="K43" s="2653"/>
      <c r="L43" s="2653"/>
      <c r="M43" s="2653"/>
      <c r="N43" s="2655"/>
      <c r="O43" s="2653"/>
      <c r="P43" s="2653"/>
      <c r="Q43" s="2653"/>
      <c r="R43" s="2658"/>
      <c r="S43" s="2653"/>
      <c r="T43" s="1338"/>
      <c r="U43" s="1338"/>
      <c r="V43" s="1337"/>
      <c r="W43" s="1214"/>
      <c r="X43" s="1185"/>
      <c r="Y43" s="1185"/>
      <c r="Z43" s="1185"/>
      <c r="AA43" s="1185"/>
      <c r="AB43" s="1185"/>
      <c r="AC43" s="1185" t="s">
        <v>189</v>
      </c>
      <c r="AD43" s="1185" t="s">
        <v>190</v>
      </c>
      <c r="AE43" s="1185" t="s">
        <v>191</v>
      </c>
      <c r="AF43" s="1185" t="s">
        <v>192</v>
      </c>
      <c r="AG43" s="1185" t="s">
        <v>193</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9">
        <f>$I$43</f>
        <v>0</v>
      </c>
      <c r="AO43" s="1185" t="str">
        <f>$I$43&amp;"."&amp;$M$43</f>
        <v>.</v>
      </c>
      <c r="AP43" s="1177" t="str">
        <f>$I$43&amp;"."&amp;$M$43&amp;"."&amp;$Q$43</f>
        <v>..</v>
      </c>
      <c r="AQ43" s="1177" t="str">
        <f>$I$43&amp;"."&amp;$M$43&amp;"."&amp;$Q$43&amp;"."&amp;$U$43</f>
        <v>...</v>
      </c>
      <c r="AR43" s="1201">
        <v>0</v>
      </c>
    </row>
    <row r="44" spans="1:44" s="2529" customFormat="1" ht="17.25" customHeight="1">
      <c r="A44" s="257"/>
      <c r="C44" s="256"/>
      <c r="D44" s="2659"/>
      <c r="E44" s="2660"/>
      <c r="F44" s="2663"/>
      <c r="G44" s="2660"/>
      <c r="H44" s="2666"/>
      <c r="I44" s="2668"/>
      <c r="J44" s="2670"/>
      <c r="K44" s="2654"/>
      <c r="L44" s="2654"/>
      <c r="M44" s="2654"/>
      <c r="N44" s="2656"/>
      <c r="O44" s="2654"/>
      <c r="P44" s="2654"/>
      <c r="Q44" s="2654"/>
      <c r="R44" s="2657"/>
      <c r="S44" s="2654"/>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529" customFormat="1" ht="17.25" customHeight="1">
      <c r="A45" s="257"/>
      <c r="C45" s="256"/>
      <c r="D45" s="2649"/>
      <c r="E45" s="2661"/>
      <c r="F45" s="2663"/>
      <c r="G45" s="2661"/>
      <c r="H45" s="2666"/>
      <c r="I45" s="2668"/>
      <c r="J45" s="2671"/>
      <c r="K45" s="2654"/>
      <c r="L45" s="2654"/>
      <c r="M45" s="2654"/>
      <c r="N45" s="2657"/>
      <c r="O45" s="2654"/>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529" customFormat="1" ht="17.25" customHeight="1">
      <c r="A46" s="257"/>
      <c r="C46" s="145"/>
      <c r="D46" s="2649"/>
      <c r="E46" s="2661"/>
      <c r="F46" s="2663"/>
      <c r="G46" s="2661"/>
      <c r="H46" s="2666"/>
      <c r="I46" s="2668"/>
      <c r="J46" s="2671"/>
      <c r="K46" s="2654"/>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529" customFormat="1" ht="17.25" customHeight="1">
      <c r="A47" s="257"/>
      <c r="C47" s="256"/>
      <c r="D47" s="2649"/>
      <c r="E47" s="2661"/>
      <c r="F47" s="2664"/>
      <c r="G47" s="2661"/>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529" customFormat="1" ht="17.25" customHeight="1">
      <c r="A48" s="257"/>
      <c r="C48" s="145"/>
      <c r="D48" s="2689">
        <v>7</v>
      </c>
      <c r="E48" s="2692" t="s">
        <v>194</v>
      </c>
      <c r="F48" s="2662" t="s">
        <v>19</v>
      </c>
      <c r="G48" s="2692"/>
      <c r="H48" s="2665"/>
      <c r="I48" s="2667"/>
      <c r="J48" s="2669"/>
      <c r="K48" s="2653"/>
      <c r="L48" s="2653"/>
      <c r="M48" s="2653"/>
      <c r="N48" s="2655"/>
      <c r="O48" s="2653"/>
      <c r="P48" s="2653"/>
      <c r="Q48" s="2653"/>
      <c r="R48" s="2658"/>
      <c r="S48" s="2653"/>
      <c r="T48" s="1338"/>
      <c r="U48" s="1338"/>
      <c r="V48" s="1337"/>
      <c r="W48" s="1214"/>
      <c r="X48" s="1185"/>
      <c r="Y48" s="1185"/>
      <c r="Z48" s="1185"/>
      <c r="AA48" s="1185"/>
      <c r="AB48" s="1185"/>
      <c r="AC48" s="1185" t="s">
        <v>195</v>
      </c>
      <c r="AD48" s="1185" t="s">
        <v>196</v>
      </c>
      <c r="AE48" s="1185" t="s">
        <v>197</v>
      </c>
      <c r="AF48" s="1185" t="s">
        <v>198</v>
      </c>
      <c r="AG48" s="1185" t="s">
        <v>199</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9">
        <f>$I$48</f>
        <v>0</v>
      </c>
      <c r="AO48" s="1185" t="str">
        <f>$I$48&amp;"."&amp;$M$48</f>
        <v>.</v>
      </c>
      <c r="AP48" s="1177" t="str">
        <f>$I$48&amp;"."&amp;$M$48&amp;"."&amp;$Q$48</f>
        <v>..</v>
      </c>
      <c r="AQ48" s="1177" t="str">
        <f>$I$48&amp;"."&amp;$M$48&amp;"."&amp;$Q$48&amp;"."&amp;$U$48</f>
        <v>...</v>
      </c>
      <c r="AR48" s="1226">
        <v>0</v>
      </c>
    </row>
    <row r="49" spans="1:44" s="2529" customFormat="1" ht="17.25" customHeight="1">
      <c r="A49" s="257"/>
      <c r="C49" s="256"/>
      <c r="D49" s="2690"/>
      <c r="E49" s="2693"/>
      <c r="F49" s="2663"/>
      <c r="G49" s="2693"/>
      <c r="H49" s="2666"/>
      <c r="I49" s="2668"/>
      <c r="J49" s="2670"/>
      <c r="K49" s="2654"/>
      <c r="L49" s="2654"/>
      <c r="M49" s="2654"/>
      <c r="N49" s="2656"/>
      <c r="O49" s="2654"/>
      <c r="P49" s="2654"/>
      <c r="Q49" s="2654"/>
      <c r="R49" s="2657"/>
      <c r="S49" s="2654"/>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529" customFormat="1" ht="17.25" customHeight="1">
      <c r="A50" s="257"/>
      <c r="C50" s="256"/>
      <c r="D50" s="2690"/>
      <c r="E50" s="2693"/>
      <c r="F50" s="2663"/>
      <c r="G50" s="2693"/>
      <c r="H50" s="2666"/>
      <c r="I50" s="2668"/>
      <c r="J50" s="2671"/>
      <c r="K50" s="2654"/>
      <c r="L50" s="2654"/>
      <c r="M50" s="2654"/>
      <c r="N50" s="2657"/>
      <c r="O50" s="2654"/>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529" customFormat="1" ht="17.25" customHeight="1">
      <c r="A51" s="257"/>
      <c r="C51" s="145"/>
      <c r="D51" s="2690"/>
      <c r="E51" s="2693"/>
      <c r="F51" s="2663"/>
      <c r="G51" s="2693"/>
      <c r="H51" s="2666"/>
      <c r="I51" s="2668"/>
      <c r="J51" s="2671"/>
      <c r="K51" s="2654"/>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529" customFormat="1" ht="17.25" customHeight="1">
      <c r="A52" s="257"/>
      <c r="C52" s="256"/>
      <c r="D52" s="2691"/>
      <c r="E52" s="2694"/>
      <c r="F52" s="2664"/>
      <c r="G52" s="2694"/>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529" customFormat="1" ht="17.25" customHeight="1">
      <c r="A53" s="257"/>
      <c r="C53" s="145"/>
      <c r="D53" s="2659">
        <v>8</v>
      </c>
      <c r="E53" s="2660" t="s">
        <v>200</v>
      </c>
      <c r="F53" s="2662" t="s">
        <v>19</v>
      </c>
      <c r="G53" s="2660"/>
      <c r="H53" s="2665"/>
      <c r="I53" s="2667"/>
      <c r="J53" s="2669"/>
      <c r="K53" s="2653"/>
      <c r="L53" s="2653"/>
      <c r="M53" s="2653"/>
      <c r="N53" s="2655"/>
      <c r="O53" s="2653"/>
      <c r="P53" s="2653"/>
      <c r="Q53" s="2653"/>
      <c r="R53" s="2658"/>
      <c r="S53" s="2653"/>
      <c r="T53" s="1388"/>
      <c r="U53" s="1388"/>
      <c r="V53" s="1390"/>
      <c r="W53" s="1214"/>
      <c r="X53" s="1185"/>
      <c r="Y53" s="1185"/>
      <c r="Z53" s="1185"/>
      <c r="AA53" s="1185"/>
      <c r="AB53" s="1185"/>
      <c r="AC53" s="1185" t="s">
        <v>201</v>
      </c>
      <c r="AD53" s="1185" t="s">
        <v>202</v>
      </c>
      <c r="AE53" s="1185" t="s">
        <v>203</v>
      </c>
      <c r="AF53" s="1185" t="s">
        <v>204</v>
      </c>
      <c r="AG53" s="1185" t="s">
        <v>205</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9">
        <f>$I$53</f>
        <v>0</v>
      </c>
      <c r="AO53" s="1185" t="str">
        <f>$I$53&amp;"."&amp;$M$53</f>
        <v>.</v>
      </c>
      <c r="AP53" s="1177" t="str">
        <f>$I$53&amp;"."&amp;$M$53&amp;"."&amp;$Q$53</f>
        <v>..</v>
      </c>
      <c r="AQ53" s="1177" t="str">
        <f>$I$53&amp;"."&amp;$M$53&amp;"."&amp;$Q$53&amp;"."&amp;$U$53</f>
        <v>...</v>
      </c>
      <c r="AR53" s="1226">
        <v>0</v>
      </c>
    </row>
    <row r="54" spans="1:44" s="2529" customFormat="1" ht="17.25" customHeight="1">
      <c r="A54" s="257"/>
      <c r="C54" s="256"/>
      <c r="D54" s="2659"/>
      <c r="E54" s="2660"/>
      <c r="F54" s="2663"/>
      <c r="G54" s="2660"/>
      <c r="H54" s="2666"/>
      <c r="I54" s="2668"/>
      <c r="J54" s="2670"/>
      <c r="K54" s="2654"/>
      <c r="L54" s="2654"/>
      <c r="M54" s="2654"/>
      <c r="N54" s="2656"/>
      <c r="O54" s="2654"/>
      <c r="P54" s="2654"/>
      <c r="Q54" s="2654"/>
      <c r="R54" s="2657"/>
      <c r="S54" s="2654"/>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529" customFormat="1" ht="17.25" customHeight="1">
      <c r="A55" s="257"/>
      <c r="C55" s="256"/>
      <c r="D55" s="2649"/>
      <c r="E55" s="2661"/>
      <c r="F55" s="2663"/>
      <c r="G55" s="2661"/>
      <c r="H55" s="2666"/>
      <c r="I55" s="2668"/>
      <c r="J55" s="2671"/>
      <c r="K55" s="2654"/>
      <c r="L55" s="2654"/>
      <c r="M55" s="2654"/>
      <c r="N55" s="2657"/>
      <c r="O55" s="2654"/>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529" customFormat="1" ht="17.25" customHeight="1">
      <c r="A56" s="257"/>
      <c r="C56" s="145"/>
      <c r="D56" s="2649"/>
      <c r="E56" s="2661"/>
      <c r="F56" s="2663"/>
      <c r="G56" s="2661"/>
      <c r="H56" s="2666"/>
      <c r="I56" s="2668"/>
      <c r="J56" s="2671"/>
      <c r="K56" s="2654"/>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529" customFormat="1" ht="17.25" customHeight="1">
      <c r="A57" s="257"/>
      <c r="C57" s="256"/>
      <c r="D57" s="2649"/>
      <c r="E57" s="2661"/>
      <c r="F57" s="2664"/>
      <c r="G57" s="2661"/>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529" customFormat="1" ht="17.25" customHeight="1">
      <c r="A58" s="257"/>
      <c r="C58" s="145"/>
      <c r="D58" s="2659">
        <v>9</v>
      </c>
      <c r="E58" s="2660" t="s">
        <v>206</v>
      </c>
      <c r="F58" s="2662" t="s">
        <v>19</v>
      </c>
      <c r="G58" s="2660"/>
      <c r="H58" s="2665"/>
      <c r="I58" s="2667"/>
      <c r="J58" s="2669"/>
      <c r="K58" s="2653"/>
      <c r="L58" s="2653"/>
      <c r="M58" s="2653"/>
      <c r="N58" s="2655"/>
      <c r="O58" s="2653"/>
      <c r="P58" s="2653"/>
      <c r="Q58" s="2653"/>
      <c r="R58" s="2658"/>
      <c r="S58" s="2653"/>
      <c r="T58" s="1843"/>
      <c r="U58" s="1843"/>
      <c r="V58" s="1845"/>
      <c r="W58" s="1214"/>
      <c r="X58" s="1185"/>
      <c r="Y58" s="1185"/>
      <c r="Z58" s="1185"/>
      <c r="AA58" s="1185"/>
      <c r="AB58" s="1185"/>
      <c r="AC58" s="1185" t="s">
        <v>207</v>
      </c>
      <c r="AD58" s="1185" t="s">
        <v>208</v>
      </c>
      <c r="AE58" s="1185" t="s">
        <v>209</v>
      </c>
      <c r="AF58" s="1185" t="s">
        <v>210</v>
      </c>
      <c r="AG58" s="1185" t="s">
        <v>211</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9">
        <f>$I$58</f>
        <v>0</v>
      </c>
      <c r="AO58" s="1185" t="str">
        <f>$I$58&amp;"."&amp;$M$58</f>
        <v>.</v>
      </c>
      <c r="AP58" s="1184" t="str">
        <f>$I$58&amp;"."&amp;$M$58&amp;"."&amp;$Q$58</f>
        <v>..</v>
      </c>
      <c r="AQ58" s="1184" t="str">
        <f>$I$58&amp;"."&amp;$M$58&amp;"."&amp;$Q$58&amp;"."&amp;$U$58</f>
        <v>...</v>
      </c>
      <c r="AR58" s="1385">
        <v>0</v>
      </c>
    </row>
    <row r="59" spans="1:44" s="2529" customFormat="1" ht="17.25" customHeight="1">
      <c r="A59" s="257"/>
      <c r="C59" s="256"/>
      <c r="D59" s="2659"/>
      <c r="E59" s="2660"/>
      <c r="F59" s="2663"/>
      <c r="G59" s="2660"/>
      <c r="H59" s="2666"/>
      <c r="I59" s="2668"/>
      <c r="J59" s="2670"/>
      <c r="K59" s="2654"/>
      <c r="L59" s="2654"/>
      <c r="M59" s="2654"/>
      <c r="N59" s="2656"/>
      <c r="O59" s="2654"/>
      <c r="P59" s="2654"/>
      <c r="Q59" s="2654"/>
      <c r="R59" s="2657"/>
      <c r="S59" s="2654"/>
      <c r="T59" s="1846"/>
      <c r="U59" s="1846"/>
      <c r="V59" s="1846"/>
      <c r="W59" s="1847"/>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529" customFormat="1" ht="17.25" customHeight="1">
      <c r="A60" s="257"/>
      <c r="C60" s="256"/>
      <c r="D60" s="2649"/>
      <c r="E60" s="2661"/>
      <c r="F60" s="2663"/>
      <c r="G60" s="2661"/>
      <c r="H60" s="2666"/>
      <c r="I60" s="2668"/>
      <c r="J60" s="2671"/>
      <c r="K60" s="2654"/>
      <c r="L60" s="2654"/>
      <c r="M60" s="2654"/>
      <c r="N60" s="2657"/>
      <c r="O60" s="2654"/>
      <c r="P60" s="1844"/>
      <c r="Q60" s="1846"/>
      <c r="R60" s="1846"/>
      <c r="S60" s="265"/>
      <c r="T60" s="265"/>
      <c r="U60" s="265"/>
      <c r="V60" s="265"/>
      <c r="W60" s="1847"/>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529" customFormat="1" ht="17.25" customHeight="1">
      <c r="A61" s="257"/>
      <c r="C61" s="145"/>
      <c r="D61" s="2649"/>
      <c r="E61" s="2661"/>
      <c r="F61" s="2663"/>
      <c r="G61" s="2661"/>
      <c r="H61" s="2666"/>
      <c r="I61" s="2668"/>
      <c r="J61" s="2671"/>
      <c r="K61" s="2654"/>
      <c r="L61" s="1846"/>
      <c r="M61" s="1846"/>
      <c r="N61" s="1846"/>
      <c r="O61" s="1846"/>
      <c r="P61" s="1846"/>
      <c r="Q61" s="1846"/>
      <c r="R61" s="1846"/>
      <c r="S61" s="265"/>
      <c r="T61" s="265"/>
      <c r="U61" s="265"/>
      <c r="V61" s="265"/>
      <c r="W61" s="1847"/>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529" customFormat="1" ht="17.25" customHeight="1">
      <c r="A62" s="257"/>
      <c r="C62" s="256"/>
      <c r="D62" s="2649"/>
      <c r="E62" s="2661"/>
      <c r="F62" s="2664"/>
      <c r="G62" s="2661"/>
      <c r="H62" s="1217"/>
      <c r="I62" s="1848"/>
      <c r="J62" s="1848"/>
      <c r="K62" s="1848"/>
      <c r="L62" s="1848"/>
      <c r="M62" s="1848"/>
      <c r="N62" s="1848"/>
      <c r="O62" s="1848"/>
      <c r="P62" s="1848"/>
      <c r="Q62" s="1848"/>
      <c r="R62" s="1848"/>
      <c r="S62" s="1219"/>
      <c r="T62" s="1219"/>
      <c r="U62" s="1219"/>
      <c r="V62" s="1219"/>
      <c r="W62" s="1849"/>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529" customFormat="1" ht="17.25" hidden="1" customHeight="1">
      <c r="A63" s="257"/>
      <c r="C63" s="145"/>
      <c r="D63" s="2659">
        <v>10</v>
      </c>
      <c r="E63" s="2660" t="s">
        <v>212</v>
      </c>
      <c r="F63" s="2662" t="s">
        <v>19</v>
      </c>
      <c r="G63" s="2660"/>
      <c r="H63" s="2665"/>
      <c r="I63" s="2667"/>
      <c r="J63" s="2669"/>
      <c r="K63" s="2653"/>
      <c r="L63" s="2653"/>
      <c r="M63" s="2653"/>
      <c r="N63" s="2655"/>
      <c r="O63" s="2653"/>
      <c r="P63" s="2653"/>
      <c r="Q63" s="2653"/>
      <c r="R63" s="2658"/>
      <c r="S63" s="2653"/>
      <c r="T63" s="1843"/>
      <c r="U63" s="1843"/>
      <c r="V63" s="1845"/>
      <c r="W63" s="1214"/>
      <c r="X63" s="1185"/>
      <c r="Y63" s="1185"/>
      <c r="Z63" s="1185"/>
      <c r="AA63" s="1185"/>
      <c r="AB63" s="1185"/>
      <c r="AC63" s="1185" t="s">
        <v>213</v>
      </c>
      <c r="AD63" s="1185" t="s">
        <v>214</v>
      </c>
      <c r="AE63" s="1185" t="s">
        <v>215</v>
      </c>
      <c r="AF63" s="1185" t="s">
        <v>216</v>
      </c>
      <c r="AG63" s="1185" t="s">
        <v>217</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9">
        <f>$I$63</f>
        <v>0</v>
      </c>
      <c r="AO63" s="1185" t="str">
        <f>$I$63&amp;"."&amp;$M$63</f>
        <v>.</v>
      </c>
      <c r="AP63" s="1184" t="str">
        <f>$I$63&amp;"."&amp;$M$63&amp;"."&amp;$Q$63</f>
        <v>..</v>
      </c>
      <c r="AQ63" s="1184" t="str">
        <f>$I$63&amp;"."&amp;$M$63&amp;"."&amp;$Q$63&amp;"."&amp;$U$63</f>
        <v>...</v>
      </c>
      <c r="AR63" s="1385">
        <v>0</v>
      </c>
    </row>
    <row r="64" spans="1:44" s="2529" customFormat="1" ht="17.25" hidden="1" customHeight="1">
      <c r="A64" s="257"/>
      <c r="C64" s="256"/>
      <c r="D64" s="2659"/>
      <c r="E64" s="2660"/>
      <c r="F64" s="2663"/>
      <c r="G64" s="2660"/>
      <c r="H64" s="2666"/>
      <c r="I64" s="2668"/>
      <c r="J64" s="2670"/>
      <c r="K64" s="2654"/>
      <c r="L64" s="2654"/>
      <c r="M64" s="2654"/>
      <c r="N64" s="2656"/>
      <c r="O64" s="2654"/>
      <c r="P64" s="2654"/>
      <c r="Q64" s="2654"/>
      <c r="R64" s="2657"/>
      <c r="S64" s="2654"/>
      <c r="T64" s="1846"/>
      <c r="U64" s="1846"/>
      <c r="V64" s="1846"/>
      <c r="W64" s="1847"/>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529" customFormat="1" ht="17.25" hidden="1" customHeight="1">
      <c r="A65" s="257"/>
      <c r="C65" s="256"/>
      <c r="D65" s="2649"/>
      <c r="E65" s="2661"/>
      <c r="F65" s="2663"/>
      <c r="G65" s="2661"/>
      <c r="H65" s="2666"/>
      <c r="I65" s="2668"/>
      <c r="J65" s="2671"/>
      <c r="K65" s="2654"/>
      <c r="L65" s="2654"/>
      <c r="M65" s="2654"/>
      <c r="N65" s="2657"/>
      <c r="O65" s="2654"/>
      <c r="P65" s="1844"/>
      <c r="Q65" s="1846"/>
      <c r="R65" s="1846"/>
      <c r="S65" s="265"/>
      <c r="T65" s="265"/>
      <c r="U65" s="265"/>
      <c r="V65" s="265"/>
      <c r="W65" s="1847"/>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529" customFormat="1" ht="17.25" hidden="1" customHeight="1">
      <c r="A66" s="257"/>
      <c r="C66" s="145"/>
      <c r="D66" s="2649"/>
      <c r="E66" s="2661"/>
      <c r="F66" s="2663"/>
      <c r="G66" s="2661"/>
      <c r="H66" s="2666"/>
      <c r="I66" s="2668"/>
      <c r="J66" s="2671"/>
      <c r="K66" s="2654"/>
      <c r="L66" s="1846"/>
      <c r="M66" s="1846"/>
      <c r="N66" s="1846"/>
      <c r="O66" s="1846"/>
      <c r="P66" s="1846"/>
      <c r="Q66" s="1846"/>
      <c r="R66" s="1846"/>
      <c r="S66" s="265"/>
      <c r="T66" s="265"/>
      <c r="U66" s="265"/>
      <c r="V66" s="265"/>
      <c r="W66" s="1847"/>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529" customFormat="1" ht="17.25" hidden="1" customHeight="1">
      <c r="A67" s="257"/>
      <c r="C67" s="256"/>
      <c r="D67" s="2649"/>
      <c r="E67" s="2661"/>
      <c r="F67" s="2664"/>
      <c r="G67" s="2661"/>
      <c r="H67" s="1217"/>
      <c r="I67" s="1848"/>
      <c r="J67" s="1848"/>
      <c r="K67" s="1848"/>
      <c r="L67" s="1848"/>
      <c r="M67" s="1848"/>
      <c r="N67" s="1848"/>
      <c r="O67" s="1848"/>
      <c r="P67" s="1848"/>
      <c r="Q67" s="1848"/>
      <c r="R67" s="1848"/>
      <c r="S67" s="1219"/>
      <c r="T67" s="1219"/>
      <c r="U67" s="1219"/>
      <c r="V67" s="1219"/>
      <c r="W67" s="1849"/>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customHeight="1">
      <c r="AR68" s="43">
        <v>0</v>
      </c>
    </row>
    <row r="69" spans="1:44" ht="11.25" customHeight="1">
      <c r="E69" s="2688" t="s">
        <v>218</v>
      </c>
      <c r="F69" s="2688"/>
      <c r="G69" s="2688"/>
      <c r="H69" s="2688"/>
      <c r="I69" s="2688"/>
      <c r="J69" s="2688"/>
      <c r="K69" s="2688"/>
      <c r="L69" s="2688"/>
      <c r="M69" s="2688"/>
      <c r="N69" s="2688"/>
      <c r="O69" s="2688"/>
      <c r="P69" s="2688"/>
      <c r="Q69" s="2688"/>
      <c r="R69" s="2688"/>
      <c r="S69" s="2688"/>
      <c r="T69" s="2688"/>
      <c r="U69" s="2688"/>
      <c r="V69" s="2688"/>
      <c r="W69" s="2688"/>
      <c r="AR69" s="43">
        <v>0</v>
      </c>
    </row>
    <row r="70" spans="1:44" ht="36.75" customHeight="1">
      <c r="E70" s="2686" t="s">
        <v>219</v>
      </c>
      <c r="F70" s="2686"/>
      <c r="G70" s="2687"/>
      <c r="H70" s="2687"/>
      <c r="I70" s="2687"/>
      <c r="J70" s="2687"/>
      <c r="K70" s="2687"/>
      <c r="L70" s="2687"/>
      <c r="M70" s="2687"/>
      <c r="N70" s="2687"/>
      <c r="O70" s="2687"/>
      <c r="P70" s="2687"/>
      <c r="Q70" s="2687"/>
      <c r="R70" s="2687"/>
      <c r="S70" s="2687"/>
      <c r="T70" s="2687"/>
      <c r="U70" s="2687"/>
      <c r="V70" s="2687"/>
      <c r="W70" s="2687"/>
      <c r="AR70" s="43">
        <v>0</v>
      </c>
    </row>
    <row r="71" spans="1:44" ht="28.5" customHeight="1">
      <c r="E71" s="2686" t="s">
        <v>220</v>
      </c>
      <c r="F71" s="2686"/>
      <c r="G71" s="2687"/>
      <c r="H71" s="2687"/>
      <c r="I71" s="2687"/>
      <c r="J71" s="2687"/>
      <c r="K71" s="2687"/>
      <c r="L71" s="2687"/>
      <c r="M71" s="2687"/>
      <c r="N71" s="2687"/>
      <c r="O71" s="2687"/>
      <c r="P71" s="2687"/>
      <c r="Q71" s="2687"/>
      <c r="R71" s="2687"/>
      <c r="S71" s="2687"/>
      <c r="T71" s="2687"/>
      <c r="U71" s="2687"/>
      <c r="V71" s="2687"/>
      <c r="W71" s="2687"/>
      <c r="AR71" s="43">
        <v>0</v>
      </c>
    </row>
    <row r="72" spans="1:44" ht="27" customHeight="1">
      <c r="E72" s="2686" t="s">
        <v>221</v>
      </c>
      <c r="F72" s="2686"/>
      <c r="G72" s="2687"/>
      <c r="H72" s="2687"/>
      <c r="I72" s="2687"/>
      <c r="J72" s="2687"/>
      <c r="K72" s="2687"/>
      <c r="L72" s="2687"/>
      <c r="M72" s="2687"/>
      <c r="N72" s="2687"/>
      <c r="O72" s="2687"/>
      <c r="P72" s="2687"/>
      <c r="Q72" s="2687"/>
      <c r="R72" s="2687"/>
      <c r="S72" s="2687"/>
      <c r="T72" s="2687"/>
      <c r="U72" s="2687"/>
      <c r="V72" s="2687"/>
      <c r="W72" s="2687"/>
      <c r="AR72" s="43">
        <v>0</v>
      </c>
    </row>
    <row r="73" spans="1:44" ht="17.25" customHeight="1">
      <c r="E73" s="2686" t="s">
        <v>222</v>
      </c>
      <c r="F73" s="2686"/>
      <c r="G73" s="2687"/>
      <c r="H73" s="2687"/>
      <c r="I73" s="2687"/>
      <c r="J73" s="2687"/>
      <c r="K73" s="2687"/>
      <c r="L73" s="2687"/>
      <c r="M73" s="2687"/>
      <c r="N73" s="2687"/>
      <c r="O73" s="2687"/>
      <c r="P73" s="2687"/>
      <c r="Q73" s="2687"/>
      <c r="R73" s="2687"/>
      <c r="S73" s="2687"/>
      <c r="T73" s="2687"/>
      <c r="U73" s="2687"/>
      <c r="V73" s="2687"/>
      <c r="W73" s="2687"/>
      <c r="AR73" s="43">
        <v>0</v>
      </c>
    </row>
    <row r="74" spans="1:44" ht="15" customHeight="1">
      <c r="E74" s="276"/>
      <c r="F74" s="1203"/>
      <c r="G74" s="94"/>
      <c r="H74" s="94"/>
      <c r="I74" s="94"/>
      <c r="J74" s="94"/>
      <c r="K74" s="94"/>
      <c r="L74" s="94"/>
      <c r="M74" s="94"/>
      <c r="N74" s="94"/>
      <c r="O74" s="94"/>
      <c r="P74" s="94"/>
      <c r="Q74" s="94"/>
      <c r="R74" s="94"/>
      <c r="S74" s="94"/>
      <c r="T74" s="94"/>
      <c r="U74" s="94"/>
      <c r="V74" s="94"/>
      <c r="W74" s="94"/>
      <c r="AR74" s="43">
        <v>0</v>
      </c>
    </row>
    <row r="75" spans="1:44" ht="15" customHeight="1">
      <c r="E75" s="2688" t="s">
        <v>223</v>
      </c>
      <c r="F75" s="2688"/>
      <c r="G75" s="2688"/>
      <c r="H75" s="2688"/>
      <c r="I75" s="2688"/>
      <c r="J75" s="2688"/>
      <c r="K75" s="2688"/>
      <c r="L75" s="2688"/>
      <c r="M75" s="2688"/>
      <c r="N75" s="2688"/>
      <c r="O75" s="2688"/>
      <c r="P75" s="2688"/>
      <c r="Q75" s="2688"/>
      <c r="R75" s="2688"/>
      <c r="S75" s="2688"/>
      <c r="T75" s="2688"/>
      <c r="U75" s="2688"/>
      <c r="V75" s="2688"/>
      <c r="W75" s="2688"/>
      <c r="AR75" s="43">
        <v>0</v>
      </c>
    </row>
    <row r="76" spans="1:44" ht="17.25" customHeight="1">
      <c r="E76" s="2686" t="s">
        <v>224</v>
      </c>
      <c r="F76" s="2686"/>
      <c r="G76" s="2687"/>
      <c r="H76" s="2687"/>
      <c r="I76" s="2687"/>
      <c r="J76" s="2687"/>
      <c r="K76" s="2687"/>
      <c r="L76" s="2687"/>
      <c r="M76" s="2687"/>
      <c r="N76" s="2687"/>
      <c r="O76" s="2687"/>
      <c r="P76" s="2687"/>
      <c r="Q76" s="2687"/>
      <c r="R76" s="2687"/>
      <c r="S76" s="2687"/>
      <c r="T76" s="2687"/>
      <c r="U76" s="2687"/>
      <c r="V76" s="2687"/>
      <c r="W76" s="2687"/>
      <c r="AR76" s="43">
        <v>0</v>
      </c>
    </row>
    <row r="77" spans="1:44" ht="17.25" customHeight="1">
      <c r="E77" s="2686" t="s">
        <v>225</v>
      </c>
      <c r="F77" s="2686"/>
      <c r="G77" s="2687"/>
      <c r="H77" s="2687"/>
      <c r="I77" s="2687"/>
      <c r="J77" s="2687"/>
      <c r="K77" s="2687"/>
      <c r="L77" s="2687"/>
      <c r="M77" s="2687"/>
      <c r="N77" s="2687"/>
      <c r="O77" s="2687"/>
      <c r="P77" s="2687"/>
      <c r="Q77" s="2687"/>
      <c r="R77" s="2687"/>
      <c r="S77" s="2687"/>
      <c r="T77" s="2687"/>
      <c r="U77" s="2687"/>
      <c r="V77" s="2687"/>
      <c r="W77" s="2687"/>
      <c r="AR77" s="43">
        <v>0</v>
      </c>
    </row>
    <row r="78" spans="1:44" s="2529"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529" customFormat="1" ht="17.25" hidden="1" customHeight="1">
      <c r="A79" s="257"/>
      <c r="C79" s="145"/>
      <c r="D79" s="2659">
        <v>1</v>
      </c>
      <c r="E79" s="2660" t="s">
        <v>226</v>
      </c>
      <c r="F79" s="2662" t="s">
        <v>19</v>
      </c>
      <c r="G79" s="2660"/>
      <c r="H79" s="2665"/>
      <c r="I79" s="2667"/>
      <c r="J79" s="2669"/>
      <c r="K79" s="2653"/>
      <c r="L79" s="2653"/>
      <c r="M79" s="2653"/>
      <c r="N79" s="2655"/>
      <c r="O79" s="2653"/>
      <c r="P79" s="2653"/>
      <c r="Q79" s="2653"/>
      <c r="R79" s="2658"/>
      <c r="S79" s="2653"/>
      <c r="T79" s="1388"/>
      <c r="U79" s="1388"/>
      <c r="V79" s="1390"/>
      <c r="W79" s="1214"/>
      <c r="Y79" s="1185"/>
      <c r="Z79" s="1185"/>
      <c r="AA79" s="1185"/>
      <c r="AB79" s="1185"/>
      <c r="AC79" s="1185" t="s">
        <v>227</v>
      </c>
      <c r="AD79" s="1185" t="s">
        <v>228</v>
      </c>
      <c r="AE79" s="1185" t="s">
        <v>229</v>
      </c>
      <c r="AF79" s="1185" t="s">
        <v>230</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529" customFormat="1" ht="17.25" hidden="1" customHeight="1">
      <c r="A80" s="257"/>
      <c r="C80" s="256"/>
      <c r="D80" s="2659"/>
      <c r="E80" s="2660"/>
      <c r="F80" s="2663"/>
      <c r="G80" s="2660"/>
      <c r="H80" s="2666"/>
      <c r="I80" s="2668"/>
      <c r="J80" s="2670"/>
      <c r="K80" s="2654"/>
      <c r="L80" s="2654"/>
      <c r="M80" s="2654"/>
      <c r="N80" s="2656"/>
      <c r="O80" s="2654"/>
      <c r="P80" s="2654"/>
      <c r="Q80" s="2654"/>
      <c r="R80" s="2657"/>
      <c r="S80" s="2654"/>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529" customFormat="1" ht="17.25" hidden="1" customHeight="1">
      <c r="A81" s="257"/>
      <c r="C81" s="145"/>
      <c r="D81" s="2659"/>
      <c r="E81" s="2660"/>
      <c r="F81" s="2663"/>
      <c r="G81" s="2660"/>
      <c r="H81" s="2666"/>
      <c r="I81" s="2668"/>
      <c r="J81" s="2671"/>
      <c r="K81" s="2654"/>
      <c r="L81" s="2654"/>
      <c r="M81" s="2654"/>
      <c r="N81" s="2657"/>
      <c r="O81" s="2654"/>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529" customFormat="1" ht="17.25" hidden="1" customHeight="1">
      <c r="A82" s="257"/>
      <c r="C82" s="256"/>
      <c r="D82" s="2659"/>
      <c r="E82" s="2660"/>
      <c r="F82" s="2663"/>
      <c r="G82" s="2660"/>
      <c r="H82" s="2666"/>
      <c r="I82" s="2668"/>
      <c r="J82" s="2671"/>
      <c r="K82" s="2654"/>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529" customFormat="1" ht="17.25" hidden="1" customHeight="1">
      <c r="A83" s="257"/>
      <c r="C83" s="256"/>
      <c r="D83" s="2649"/>
      <c r="E83" s="2661"/>
      <c r="F83" s="2664"/>
      <c r="G83" s="2661"/>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529" customFormat="1" ht="17.25" hidden="1" customHeight="1">
      <c r="A84" s="257"/>
      <c r="C84" s="145"/>
      <c r="D84" s="2659">
        <v>2</v>
      </c>
      <c r="E84" s="2660" t="s">
        <v>231</v>
      </c>
      <c r="F84" s="2662" t="s">
        <v>19</v>
      </c>
      <c r="G84" s="2660"/>
      <c r="H84" s="2665"/>
      <c r="I84" s="2667"/>
      <c r="J84" s="2669"/>
      <c r="K84" s="2653"/>
      <c r="L84" s="2653"/>
      <c r="M84" s="2653"/>
      <c r="N84" s="2655"/>
      <c r="O84" s="2653"/>
      <c r="P84" s="2653"/>
      <c r="Q84" s="2653"/>
      <c r="R84" s="2658"/>
      <c r="S84" s="2653"/>
      <c r="T84" s="1361"/>
      <c r="U84" s="1361"/>
      <c r="V84" s="1363"/>
      <c r="W84" s="1214"/>
      <c r="X84" s="1185"/>
      <c r="Y84" s="1185"/>
      <c r="Z84" s="1185"/>
      <c r="AA84" s="1185"/>
      <c r="AB84" s="1185"/>
      <c r="AC84" s="1185" t="s">
        <v>232</v>
      </c>
      <c r="AD84" s="1185" t="s">
        <v>233</v>
      </c>
      <c r="AE84" s="1185" t="s">
        <v>234</v>
      </c>
      <c r="AF84" s="1185" t="s">
        <v>235</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9">
        <f>$I$84</f>
        <v>0</v>
      </c>
      <c r="AO84" s="1185" t="str">
        <f>$I$84&amp;"."&amp;$M$84</f>
        <v>.</v>
      </c>
      <c r="AP84" s="1177" t="str">
        <f>$I$84&amp;"."&amp;$M$84&amp;"."&amp;$Q$84</f>
        <v>..</v>
      </c>
      <c r="AQ84" s="1177" t="str">
        <f>$I$84&amp;"."&amp;$M$84&amp;"."&amp;$Q$84&amp;"."&amp;$U$84</f>
        <v>...</v>
      </c>
      <c r="AR84" s="1268">
        <v>0</v>
      </c>
    </row>
    <row r="85" spans="1:44" s="2529" customFormat="1" ht="17.25" hidden="1" customHeight="1">
      <c r="A85" s="257"/>
      <c r="C85" s="256"/>
      <c r="D85" s="2659"/>
      <c r="E85" s="2660"/>
      <c r="F85" s="2663"/>
      <c r="G85" s="2660"/>
      <c r="H85" s="2666"/>
      <c r="I85" s="2668"/>
      <c r="J85" s="2670"/>
      <c r="K85" s="2654"/>
      <c r="L85" s="2654"/>
      <c r="M85" s="2654"/>
      <c r="N85" s="2656"/>
      <c r="O85" s="2654"/>
      <c r="P85" s="2654"/>
      <c r="Q85" s="2654"/>
      <c r="R85" s="2657"/>
      <c r="S85" s="2654"/>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529" customFormat="1" ht="17.25" hidden="1" customHeight="1">
      <c r="A86" s="257"/>
      <c r="C86" s="256"/>
      <c r="D86" s="2649"/>
      <c r="E86" s="2661"/>
      <c r="F86" s="2663"/>
      <c r="G86" s="2661"/>
      <c r="H86" s="2666"/>
      <c r="I86" s="2668"/>
      <c r="J86" s="2671"/>
      <c r="K86" s="2654"/>
      <c r="L86" s="2654"/>
      <c r="M86" s="2654"/>
      <c r="N86" s="2657"/>
      <c r="O86" s="2654"/>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529" customFormat="1" ht="17.25" hidden="1" customHeight="1">
      <c r="A87" s="257"/>
      <c r="C87" s="256"/>
      <c r="D87" s="2649"/>
      <c r="E87" s="2661"/>
      <c r="F87" s="2663"/>
      <c r="G87" s="2661"/>
      <c r="H87" s="2666"/>
      <c r="I87" s="2668"/>
      <c r="J87" s="2671"/>
      <c r="K87" s="2654"/>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529" customFormat="1" ht="17.25" hidden="1" customHeight="1">
      <c r="A88" s="257"/>
      <c r="C88" s="256"/>
      <c r="D88" s="2649"/>
      <c r="E88" s="2661"/>
      <c r="F88" s="2664"/>
      <c r="G88" s="2661"/>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529" customFormat="1" ht="17.25" hidden="1" customHeight="1">
      <c r="A89" s="257"/>
      <c r="C89" s="145"/>
      <c r="D89" s="2659">
        <v>3</v>
      </c>
      <c r="E89" s="2660" t="s">
        <v>236</v>
      </c>
      <c r="F89" s="2662" t="s">
        <v>19</v>
      </c>
      <c r="G89" s="2660"/>
      <c r="H89" s="2665"/>
      <c r="I89" s="2667"/>
      <c r="J89" s="2669"/>
      <c r="K89" s="2653"/>
      <c r="L89" s="2653"/>
      <c r="M89" s="2653"/>
      <c r="N89" s="2655"/>
      <c r="O89" s="2653"/>
      <c r="P89" s="2653"/>
      <c r="Q89" s="2653"/>
      <c r="R89" s="2658"/>
      <c r="S89" s="2653"/>
      <c r="T89" s="1361"/>
      <c r="U89" s="1361"/>
      <c r="V89" s="1363"/>
      <c r="W89" s="1214"/>
      <c r="X89" s="1185"/>
      <c r="Y89" s="1185"/>
      <c r="Z89" s="1185"/>
      <c r="AA89" s="1185"/>
      <c r="AB89" s="1185"/>
      <c r="AC89" s="1185" t="s">
        <v>237</v>
      </c>
      <c r="AD89" s="1185" t="s">
        <v>238</v>
      </c>
      <c r="AE89" s="1185" t="s">
        <v>239</v>
      </c>
      <c r="AF89" s="1185" t="s">
        <v>240</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9">
        <f>$I$89</f>
        <v>0</v>
      </c>
      <c r="AO89" s="1185" t="str">
        <f>$I$89&amp;"."&amp;$M$89</f>
        <v>.</v>
      </c>
      <c r="AP89" s="1177" t="str">
        <f>$I$89&amp;"."&amp;$M$89&amp;"."&amp;$Q$89</f>
        <v>..</v>
      </c>
      <c r="AQ89" s="1177" t="str">
        <f>$I$89&amp;"."&amp;$M$89&amp;"."&amp;$Q$89&amp;"."&amp;$U$89</f>
        <v>...</v>
      </c>
      <c r="AR89" s="1268">
        <v>0</v>
      </c>
    </row>
    <row r="90" spans="1:44" s="2529" customFormat="1" ht="17.25" hidden="1" customHeight="1">
      <c r="A90" s="257"/>
      <c r="C90" s="256"/>
      <c r="D90" s="2659"/>
      <c r="E90" s="2660"/>
      <c r="F90" s="2663"/>
      <c r="G90" s="2660"/>
      <c r="H90" s="2666"/>
      <c r="I90" s="2668"/>
      <c r="J90" s="2670"/>
      <c r="K90" s="2654"/>
      <c r="L90" s="2654"/>
      <c r="M90" s="2654"/>
      <c r="N90" s="2656"/>
      <c r="O90" s="2654"/>
      <c r="P90" s="2654"/>
      <c r="Q90" s="2654"/>
      <c r="R90" s="2657"/>
      <c r="S90" s="2654"/>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529" customFormat="1" ht="17.25" hidden="1" customHeight="1">
      <c r="A91" s="257"/>
      <c r="C91" s="256"/>
      <c r="D91" s="2649"/>
      <c r="E91" s="2661"/>
      <c r="F91" s="2663"/>
      <c r="G91" s="2661"/>
      <c r="H91" s="2666"/>
      <c r="I91" s="2668"/>
      <c r="J91" s="2671"/>
      <c r="K91" s="2654"/>
      <c r="L91" s="2654"/>
      <c r="M91" s="2654"/>
      <c r="N91" s="2657"/>
      <c r="O91" s="2654"/>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529" customFormat="1" ht="17.25" hidden="1" customHeight="1">
      <c r="A92" s="257"/>
      <c r="C92" s="256"/>
      <c r="D92" s="2649"/>
      <c r="E92" s="2661"/>
      <c r="F92" s="2663"/>
      <c r="G92" s="2661"/>
      <c r="H92" s="2666"/>
      <c r="I92" s="2668"/>
      <c r="J92" s="2671"/>
      <c r="K92" s="2654"/>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529" customFormat="1" ht="17.25" hidden="1" customHeight="1">
      <c r="A93" s="257"/>
      <c r="C93" s="256"/>
      <c r="D93" s="2649"/>
      <c r="E93" s="2661"/>
      <c r="F93" s="2664"/>
      <c r="G93" s="2661"/>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529" customFormat="1" ht="17.25" hidden="1" customHeight="1">
      <c r="A94" s="257"/>
      <c r="C94" s="145"/>
      <c r="D94" s="2659">
        <v>4</v>
      </c>
      <c r="E94" s="2660" t="s">
        <v>241</v>
      </c>
      <c r="F94" s="2662" t="s">
        <v>19</v>
      </c>
      <c r="G94" s="2660"/>
      <c r="H94" s="2665"/>
      <c r="I94" s="2667"/>
      <c r="J94" s="2669"/>
      <c r="K94" s="2653"/>
      <c r="L94" s="2653"/>
      <c r="M94" s="2653"/>
      <c r="N94" s="2655"/>
      <c r="O94" s="2653"/>
      <c r="P94" s="2653"/>
      <c r="Q94" s="2653"/>
      <c r="R94" s="2658"/>
      <c r="S94" s="2653"/>
      <c r="T94" s="1361"/>
      <c r="U94" s="1361"/>
      <c r="V94" s="1363"/>
      <c r="W94" s="1214"/>
      <c r="X94" s="1185"/>
      <c r="Y94" s="1185"/>
      <c r="Z94" s="1185"/>
      <c r="AA94" s="1185"/>
      <c r="AB94" s="1185"/>
      <c r="AC94" s="1185" t="s">
        <v>242</v>
      </c>
      <c r="AD94" s="1185" t="s">
        <v>243</v>
      </c>
      <c r="AE94" s="1185" t="s">
        <v>244</v>
      </c>
      <c r="AF94" s="1185" t="s">
        <v>245</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9">
        <f>$I$94</f>
        <v>0</v>
      </c>
      <c r="AO94" s="1185" t="str">
        <f>$I$94&amp;"."&amp;$M$94</f>
        <v>.</v>
      </c>
      <c r="AP94" s="1177" t="str">
        <f>$I$94&amp;"."&amp;$M$94&amp;"."&amp;$Q$94</f>
        <v>..</v>
      </c>
      <c r="AQ94" s="1177" t="str">
        <f>$I$94&amp;"."&amp;$M$94&amp;"."&amp;$Q$94&amp;"."&amp;$U$94</f>
        <v>...</v>
      </c>
      <c r="AR94" s="1268">
        <v>0</v>
      </c>
    </row>
    <row r="95" spans="1:44" s="2529" customFormat="1" ht="17.25" hidden="1" customHeight="1">
      <c r="A95" s="257"/>
      <c r="C95" s="256"/>
      <c r="D95" s="2659"/>
      <c r="E95" s="2660"/>
      <c r="F95" s="2663"/>
      <c r="G95" s="2660"/>
      <c r="H95" s="2666"/>
      <c r="I95" s="2668"/>
      <c r="J95" s="2670"/>
      <c r="K95" s="2654"/>
      <c r="L95" s="2654"/>
      <c r="M95" s="2654"/>
      <c r="N95" s="2656"/>
      <c r="O95" s="2654"/>
      <c r="P95" s="2654"/>
      <c r="Q95" s="2654"/>
      <c r="R95" s="2657"/>
      <c r="S95" s="2654"/>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529" customFormat="1" ht="17.25" hidden="1" customHeight="1">
      <c r="A96" s="257"/>
      <c r="C96" s="256"/>
      <c r="D96" s="2649"/>
      <c r="E96" s="2661"/>
      <c r="F96" s="2663"/>
      <c r="G96" s="2661"/>
      <c r="H96" s="2666"/>
      <c r="I96" s="2668"/>
      <c r="J96" s="2671"/>
      <c r="K96" s="2654"/>
      <c r="L96" s="2654"/>
      <c r="M96" s="2654"/>
      <c r="N96" s="2657"/>
      <c r="O96" s="2654"/>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529" customFormat="1" ht="17.25" hidden="1" customHeight="1">
      <c r="A97" s="257"/>
      <c r="C97" s="256"/>
      <c r="D97" s="2649"/>
      <c r="E97" s="2661"/>
      <c r="F97" s="2663"/>
      <c r="G97" s="2661"/>
      <c r="H97" s="2666"/>
      <c r="I97" s="2668"/>
      <c r="J97" s="2671"/>
      <c r="K97" s="2654"/>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529" customFormat="1" ht="17.25" hidden="1" customHeight="1">
      <c r="A98" s="257"/>
      <c r="C98" s="256"/>
      <c r="D98" s="2649"/>
      <c r="E98" s="2661"/>
      <c r="F98" s="2664"/>
      <c r="G98" s="2661"/>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529" customFormat="1" ht="17.25" hidden="1" customHeight="1">
      <c r="A99" s="257"/>
      <c r="C99" s="145"/>
      <c r="D99" s="2659">
        <v>5</v>
      </c>
      <c r="E99" s="2660" t="s">
        <v>246</v>
      </c>
      <c r="F99" s="2662" t="s">
        <v>19</v>
      </c>
      <c r="G99" s="2660"/>
      <c r="H99" s="2665"/>
      <c r="I99" s="2667"/>
      <c r="J99" s="2669"/>
      <c r="K99" s="2653"/>
      <c r="L99" s="2653"/>
      <c r="M99" s="2653"/>
      <c r="N99" s="2655"/>
      <c r="O99" s="2653"/>
      <c r="P99" s="2653"/>
      <c r="Q99" s="2653"/>
      <c r="R99" s="2658"/>
      <c r="S99" s="2653"/>
      <c r="T99" s="1855"/>
      <c r="U99" s="1855"/>
      <c r="V99" s="1857"/>
      <c r="W99" s="1214"/>
      <c r="X99" s="1185"/>
      <c r="Y99" s="1185"/>
      <c r="Z99" s="1185"/>
      <c r="AA99" s="1185"/>
      <c r="AB99" s="1185"/>
      <c r="AC99" s="1185" t="s">
        <v>247</v>
      </c>
      <c r="AD99" s="1185" t="s">
        <v>248</v>
      </c>
      <c r="AE99" s="1185" t="s">
        <v>249</v>
      </c>
      <c r="AF99" s="1185" t="s">
        <v>250</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9">
        <f>$I$99</f>
        <v>0</v>
      </c>
      <c r="AO99" s="1185" t="str">
        <f>$I$99&amp;"."&amp;$M$99</f>
        <v>.</v>
      </c>
      <c r="AP99" s="1184" t="str">
        <f>$I$99&amp;"."&amp;$M$99&amp;"."&amp;$Q$99</f>
        <v>..</v>
      </c>
      <c r="AQ99" s="1184" t="str">
        <f>$I$99&amp;"."&amp;$M$99&amp;"."&amp;$Q$99&amp;"."&amp;$U$99</f>
        <v>...</v>
      </c>
      <c r="AR99" s="1385">
        <v>0</v>
      </c>
    </row>
    <row r="100" spans="1:44" s="2529" customFormat="1" ht="17.25" hidden="1" customHeight="1">
      <c r="A100" s="257"/>
      <c r="C100" s="256"/>
      <c r="D100" s="2659"/>
      <c r="E100" s="2660"/>
      <c r="F100" s="2663"/>
      <c r="G100" s="2660"/>
      <c r="H100" s="2666"/>
      <c r="I100" s="2668"/>
      <c r="J100" s="2670"/>
      <c r="K100" s="2654"/>
      <c r="L100" s="2654"/>
      <c r="M100" s="2654"/>
      <c r="N100" s="2656"/>
      <c r="O100" s="2654"/>
      <c r="P100" s="2654"/>
      <c r="Q100" s="2654"/>
      <c r="R100" s="2657"/>
      <c r="S100" s="2654"/>
      <c r="T100" s="1860"/>
      <c r="U100" s="1860"/>
      <c r="V100" s="1860"/>
      <c r="W100" s="1861"/>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529" customFormat="1" ht="17.25" hidden="1" customHeight="1">
      <c r="A101" s="257"/>
      <c r="C101" s="256"/>
      <c r="D101" s="2649"/>
      <c r="E101" s="2661"/>
      <c r="F101" s="2663"/>
      <c r="G101" s="2661"/>
      <c r="H101" s="2666"/>
      <c r="I101" s="2668"/>
      <c r="J101" s="2671"/>
      <c r="K101" s="2654"/>
      <c r="L101" s="2654"/>
      <c r="M101" s="2654"/>
      <c r="N101" s="2657"/>
      <c r="O101" s="2654"/>
      <c r="P101" s="1856"/>
      <c r="Q101" s="1860"/>
      <c r="R101" s="1860"/>
      <c r="S101" s="265"/>
      <c r="T101" s="265"/>
      <c r="U101" s="265"/>
      <c r="V101" s="265"/>
      <c r="W101" s="1861"/>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529" customFormat="1" ht="17.25" hidden="1" customHeight="1">
      <c r="A102" s="257"/>
      <c r="C102" s="256"/>
      <c r="D102" s="2649"/>
      <c r="E102" s="2661"/>
      <c r="F102" s="2663"/>
      <c r="G102" s="2661"/>
      <c r="H102" s="2666"/>
      <c r="I102" s="2668"/>
      <c r="J102" s="2671"/>
      <c r="K102" s="2654"/>
      <c r="L102" s="1860"/>
      <c r="M102" s="1860"/>
      <c r="N102" s="1860"/>
      <c r="O102" s="1860"/>
      <c r="P102" s="1860"/>
      <c r="Q102" s="1860"/>
      <c r="R102" s="1860"/>
      <c r="S102" s="265"/>
      <c r="T102" s="265"/>
      <c r="U102" s="265"/>
      <c r="V102" s="265"/>
      <c r="W102" s="1861"/>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529" customFormat="1" ht="17.25" hidden="1" customHeight="1">
      <c r="A103" s="257"/>
      <c r="C103" s="256"/>
      <c r="D103" s="2649"/>
      <c r="E103" s="2661"/>
      <c r="F103" s="2664"/>
      <c r="G103" s="2661"/>
      <c r="H103" s="1217"/>
      <c r="I103" s="1858"/>
      <c r="J103" s="1858"/>
      <c r="K103" s="1858"/>
      <c r="L103" s="1858"/>
      <c r="M103" s="1858"/>
      <c r="N103" s="1858"/>
      <c r="O103" s="1858"/>
      <c r="P103" s="1858"/>
      <c r="Q103" s="1858"/>
      <c r="R103" s="1858"/>
      <c r="S103" s="1219"/>
      <c r="T103" s="1219"/>
      <c r="U103" s="1219"/>
      <c r="V103" s="1219"/>
      <c r="W103" s="1859"/>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529"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529" customFormat="1" ht="17.25" hidden="1" customHeight="1">
      <c r="A105" s="257"/>
      <c r="C105" s="145"/>
      <c r="D105" s="2659">
        <v>1</v>
      </c>
      <c r="E105" s="2660" t="s">
        <v>251</v>
      </c>
      <c r="F105" s="2662" t="s">
        <v>19</v>
      </c>
      <c r="G105" s="2660"/>
      <c r="H105" s="2665"/>
      <c r="I105" s="2667"/>
      <c r="J105" s="2669"/>
      <c r="K105" s="2653"/>
      <c r="L105" s="2653"/>
      <c r="M105" s="2653"/>
      <c r="N105" s="2655"/>
      <c r="O105" s="2653"/>
      <c r="P105" s="2653"/>
      <c r="Q105" s="2653"/>
      <c r="R105" s="2658"/>
      <c r="S105" s="2653"/>
      <c r="T105" s="1388"/>
      <c r="U105" s="1388"/>
      <c r="V105" s="1390"/>
      <c r="W105" s="1214"/>
      <c r="Y105" s="1185"/>
      <c r="Z105" s="1185"/>
      <c r="AA105" s="1185"/>
      <c r="AB105" s="1185"/>
      <c r="AC105" s="1185" t="s">
        <v>252</v>
      </c>
      <c r="AD105" s="1185" t="s">
        <v>253</v>
      </c>
      <c r="AE105" s="1185" t="s">
        <v>254</v>
      </c>
      <c r="AF105" s="1185" t="s">
        <v>255</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529" customFormat="1" ht="17.25" hidden="1" customHeight="1">
      <c r="A106" s="257"/>
      <c r="C106" s="256"/>
      <c r="D106" s="2659"/>
      <c r="E106" s="2660"/>
      <c r="F106" s="2663"/>
      <c r="G106" s="2660"/>
      <c r="H106" s="2666"/>
      <c r="I106" s="2668"/>
      <c r="J106" s="2670"/>
      <c r="K106" s="2654"/>
      <c r="L106" s="2654"/>
      <c r="M106" s="2654"/>
      <c r="N106" s="2656"/>
      <c r="O106" s="2654"/>
      <c r="P106" s="2654"/>
      <c r="Q106" s="2654"/>
      <c r="R106" s="2657"/>
      <c r="S106" s="2654"/>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529" customFormat="1" ht="17.25" hidden="1" customHeight="1">
      <c r="A107" s="257"/>
      <c r="C107" s="145"/>
      <c r="D107" s="2659"/>
      <c r="E107" s="2660"/>
      <c r="F107" s="2663"/>
      <c r="G107" s="2660"/>
      <c r="H107" s="2666"/>
      <c r="I107" s="2668"/>
      <c r="J107" s="2671"/>
      <c r="K107" s="2654"/>
      <c r="L107" s="2654"/>
      <c r="M107" s="2654"/>
      <c r="N107" s="2657"/>
      <c r="O107" s="2654"/>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529" customFormat="1" ht="17.25" hidden="1" customHeight="1">
      <c r="A108" s="257"/>
      <c r="C108" s="256"/>
      <c r="D108" s="2659"/>
      <c r="E108" s="2660"/>
      <c r="F108" s="2663"/>
      <c r="G108" s="2660"/>
      <c r="H108" s="2666"/>
      <c r="I108" s="2668"/>
      <c r="J108" s="2671"/>
      <c r="K108" s="2654"/>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529" customFormat="1" ht="17.25" hidden="1" customHeight="1">
      <c r="A109" s="257"/>
      <c r="C109" s="256"/>
      <c r="D109" s="2649"/>
      <c r="E109" s="2661"/>
      <c r="F109" s="2664"/>
      <c r="G109" s="2661"/>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529" customFormat="1" ht="17.25" hidden="1" customHeight="1">
      <c r="A110" s="257"/>
      <c r="C110" s="145"/>
      <c r="D110" s="2659">
        <v>2</v>
      </c>
      <c r="E110" s="2660" t="s">
        <v>256</v>
      </c>
      <c r="F110" s="2662" t="s">
        <v>19</v>
      </c>
      <c r="G110" s="2660"/>
      <c r="H110" s="2665"/>
      <c r="I110" s="2667"/>
      <c r="J110" s="2669"/>
      <c r="K110" s="2653"/>
      <c r="L110" s="2653"/>
      <c r="M110" s="2653"/>
      <c r="N110" s="2655"/>
      <c r="O110" s="2653"/>
      <c r="P110" s="2653"/>
      <c r="Q110" s="2653"/>
      <c r="R110" s="2658"/>
      <c r="S110" s="2653"/>
      <c r="T110" s="1388"/>
      <c r="U110" s="1388"/>
      <c r="V110" s="1390"/>
      <c r="W110" s="1214"/>
      <c r="X110" s="1185"/>
      <c r="Y110" s="1185"/>
      <c r="Z110" s="1185"/>
      <c r="AA110" s="1185"/>
      <c r="AB110" s="1185"/>
      <c r="AC110" s="1185" t="s">
        <v>257</v>
      </c>
      <c r="AD110" s="1185" t="s">
        <v>258</v>
      </c>
      <c r="AE110" s="1185" t="s">
        <v>259</v>
      </c>
      <c r="AF110" s="1185" t="s">
        <v>260</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9">
        <f>$I$110</f>
        <v>0</v>
      </c>
      <c r="AO110" s="1185" t="str">
        <f>$I$110&amp;"."&amp;$M$110</f>
        <v>.</v>
      </c>
      <c r="AP110" s="1177" t="str">
        <f>$I$110&amp;"."&amp;$M$110&amp;"."&amp;$Q$110</f>
        <v>..</v>
      </c>
      <c r="AQ110" s="1177" t="str">
        <f>$I$110&amp;"."&amp;$M$110&amp;"."&amp;$Q$110&amp;"."&amp;$U$110</f>
        <v>...</v>
      </c>
      <c r="AR110" s="1385">
        <v>0</v>
      </c>
    </row>
    <row r="111" spans="1:44" s="2529" customFormat="1" ht="17.25" hidden="1" customHeight="1">
      <c r="A111" s="257"/>
      <c r="C111" s="256"/>
      <c r="D111" s="2659"/>
      <c r="E111" s="2660"/>
      <c r="F111" s="2663"/>
      <c r="G111" s="2660"/>
      <c r="H111" s="2666"/>
      <c r="I111" s="2668"/>
      <c r="J111" s="2670"/>
      <c r="K111" s="2654"/>
      <c r="L111" s="2654"/>
      <c r="M111" s="2654"/>
      <c r="N111" s="2656"/>
      <c r="O111" s="2654"/>
      <c r="P111" s="2654"/>
      <c r="Q111" s="2654"/>
      <c r="R111" s="2657"/>
      <c r="S111" s="2654"/>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529" customFormat="1" ht="17.25" hidden="1" customHeight="1">
      <c r="A112" s="257"/>
      <c r="C112" s="256"/>
      <c r="D112" s="2649"/>
      <c r="E112" s="2661"/>
      <c r="F112" s="2663"/>
      <c r="G112" s="2661"/>
      <c r="H112" s="2666"/>
      <c r="I112" s="2668"/>
      <c r="J112" s="2671"/>
      <c r="K112" s="2654"/>
      <c r="L112" s="2654"/>
      <c r="M112" s="2654"/>
      <c r="N112" s="2657"/>
      <c r="O112" s="2654"/>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529" customFormat="1" ht="17.25" hidden="1" customHeight="1">
      <c r="A113" s="257"/>
      <c r="C113" s="256"/>
      <c r="D113" s="2649"/>
      <c r="E113" s="2661"/>
      <c r="F113" s="2663"/>
      <c r="G113" s="2661"/>
      <c r="H113" s="2666"/>
      <c r="I113" s="2668"/>
      <c r="J113" s="2671"/>
      <c r="K113" s="2654"/>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529" customFormat="1" ht="17.25" hidden="1" customHeight="1">
      <c r="A114" s="257"/>
      <c r="C114" s="256"/>
      <c r="D114" s="2649"/>
      <c r="E114" s="2661"/>
      <c r="F114" s="2664"/>
      <c r="G114" s="2661"/>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529" customFormat="1" ht="17.25" hidden="1" customHeight="1">
      <c r="A115" s="257"/>
      <c r="C115" s="145"/>
      <c r="D115" s="2659">
        <v>3</v>
      </c>
      <c r="E115" s="2660" t="s">
        <v>261</v>
      </c>
      <c r="F115" s="2662" t="s">
        <v>19</v>
      </c>
      <c r="G115" s="2660"/>
      <c r="H115" s="2665"/>
      <c r="I115" s="2667"/>
      <c r="J115" s="2669"/>
      <c r="K115" s="2653"/>
      <c r="L115" s="2653"/>
      <c r="M115" s="2653"/>
      <c r="N115" s="2655"/>
      <c r="O115" s="2653"/>
      <c r="P115" s="2653"/>
      <c r="Q115" s="2653"/>
      <c r="R115" s="2658"/>
      <c r="S115" s="2653"/>
      <c r="T115" s="1855"/>
      <c r="U115" s="1855"/>
      <c r="V115" s="1857"/>
      <c r="W115" s="1214"/>
      <c r="X115" s="1185"/>
      <c r="Y115" s="1185"/>
      <c r="Z115" s="1185"/>
      <c r="AA115" s="1185"/>
      <c r="AB115" s="1185"/>
      <c r="AC115" s="1185" t="s">
        <v>262</v>
      </c>
      <c r="AD115" s="1185" t="s">
        <v>263</v>
      </c>
      <c r="AE115" s="1185" t="s">
        <v>264</v>
      </c>
      <c r="AF115" s="1185" t="s">
        <v>265</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9">
        <f>$I$115</f>
        <v>0</v>
      </c>
      <c r="AO115" s="1185" t="str">
        <f>$I$115&amp;"."&amp;$M$115</f>
        <v>.</v>
      </c>
      <c r="AP115" s="1184" t="str">
        <f>$I$115&amp;"."&amp;$M$115&amp;"."&amp;$Q$115</f>
        <v>..</v>
      </c>
      <c r="AQ115" s="1184" t="str">
        <f>$I$115&amp;"."&amp;$M$115&amp;"."&amp;$Q$115&amp;"."&amp;$U$115</f>
        <v>...</v>
      </c>
      <c r="AR115" s="1385">
        <v>0</v>
      </c>
    </row>
    <row r="116" spans="1:44" s="2529" customFormat="1" ht="17.25" hidden="1" customHeight="1">
      <c r="A116" s="257"/>
      <c r="C116" s="256"/>
      <c r="D116" s="2659"/>
      <c r="E116" s="2660"/>
      <c r="F116" s="2663"/>
      <c r="G116" s="2660"/>
      <c r="H116" s="2666"/>
      <c r="I116" s="2668"/>
      <c r="J116" s="2670"/>
      <c r="K116" s="2654"/>
      <c r="L116" s="2654"/>
      <c r="M116" s="2654"/>
      <c r="N116" s="2656"/>
      <c r="O116" s="2654"/>
      <c r="P116" s="2654"/>
      <c r="Q116" s="2654"/>
      <c r="R116" s="2657"/>
      <c r="S116" s="2654"/>
      <c r="T116" s="1860"/>
      <c r="U116" s="1860"/>
      <c r="V116" s="1860"/>
      <c r="W116" s="1861"/>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529" customFormat="1" ht="17.25" hidden="1" customHeight="1">
      <c r="A117" s="257"/>
      <c r="C117" s="256"/>
      <c r="D117" s="2649"/>
      <c r="E117" s="2661"/>
      <c r="F117" s="2663"/>
      <c r="G117" s="2661"/>
      <c r="H117" s="2666"/>
      <c r="I117" s="2668"/>
      <c r="J117" s="2671"/>
      <c r="K117" s="2654"/>
      <c r="L117" s="2654"/>
      <c r="M117" s="2654"/>
      <c r="N117" s="2657"/>
      <c r="O117" s="2654"/>
      <c r="P117" s="1856"/>
      <c r="Q117" s="1860"/>
      <c r="R117" s="1860"/>
      <c r="S117" s="265"/>
      <c r="T117" s="265"/>
      <c r="U117" s="265"/>
      <c r="V117" s="265"/>
      <c r="W117" s="1861"/>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529" customFormat="1" ht="17.25" hidden="1" customHeight="1">
      <c r="A118" s="257"/>
      <c r="C118" s="256"/>
      <c r="D118" s="2649"/>
      <c r="E118" s="2661"/>
      <c r="F118" s="2663"/>
      <c r="G118" s="2661"/>
      <c r="H118" s="2666"/>
      <c r="I118" s="2668"/>
      <c r="J118" s="2671"/>
      <c r="K118" s="2654"/>
      <c r="L118" s="1860"/>
      <c r="M118" s="1860"/>
      <c r="N118" s="1860"/>
      <c r="O118" s="1860"/>
      <c r="P118" s="1860"/>
      <c r="Q118" s="1860"/>
      <c r="R118" s="1860"/>
      <c r="S118" s="265"/>
      <c r="T118" s="265"/>
      <c r="U118" s="265"/>
      <c r="V118" s="265"/>
      <c r="W118" s="1861"/>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529" customFormat="1" ht="17.25" hidden="1" customHeight="1">
      <c r="A119" s="257"/>
      <c r="C119" s="256"/>
      <c r="D119" s="2649"/>
      <c r="E119" s="2661"/>
      <c r="F119" s="2664"/>
      <c r="G119" s="2661"/>
      <c r="H119" s="1217"/>
      <c r="I119" s="1858"/>
      <c r="J119" s="1858"/>
      <c r="K119" s="1858"/>
      <c r="L119" s="1858"/>
      <c r="M119" s="1858"/>
      <c r="N119" s="1858"/>
      <c r="O119" s="1858"/>
      <c r="P119" s="1858"/>
      <c r="Q119" s="1858"/>
      <c r="R119" s="1858"/>
      <c r="S119" s="1219"/>
      <c r="T119" s="1219"/>
      <c r="U119" s="1219"/>
      <c r="V119" s="1219"/>
      <c r="W119" s="1859"/>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529"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529" customFormat="1" ht="17.25" hidden="1" customHeight="1">
      <c r="A121" s="257"/>
      <c r="C121" s="145"/>
      <c r="D121" s="2659">
        <v>1</v>
      </c>
      <c r="E121" s="2660" t="s">
        <v>266</v>
      </c>
      <c r="F121" s="2662" t="s">
        <v>19</v>
      </c>
      <c r="G121" s="2660"/>
      <c r="H121" s="2665"/>
      <c r="I121" s="2667"/>
      <c r="J121" s="2669"/>
      <c r="K121" s="2653"/>
      <c r="L121" s="2653"/>
      <c r="M121" s="2653"/>
      <c r="N121" s="2655"/>
      <c r="O121" s="2653"/>
      <c r="P121" s="2653"/>
      <c r="Q121" s="2653"/>
      <c r="R121" s="2658"/>
      <c r="S121" s="2653"/>
      <c r="T121" s="1388"/>
      <c r="U121" s="1388"/>
      <c r="V121" s="1390"/>
      <c r="W121" s="1214"/>
      <c r="Y121" s="1185"/>
      <c r="Z121" s="1185"/>
      <c r="AA121" s="1185"/>
      <c r="AB121" s="1185"/>
      <c r="AC121" s="1185" t="s">
        <v>267</v>
      </c>
      <c r="AD121" s="1185" t="s">
        <v>268</v>
      </c>
      <c r="AE121" s="1185" t="s">
        <v>269</v>
      </c>
      <c r="AF121" s="1185" t="s">
        <v>270</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529" customFormat="1" ht="17.25" hidden="1" customHeight="1">
      <c r="A122" s="257"/>
      <c r="C122" s="256"/>
      <c r="D122" s="2659"/>
      <c r="E122" s="2660"/>
      <c r="F122" s="2663"/>
      <c r="G122" s="2660"/>
      <c r="H122" s="2666"/>
      <c r="I122" s="2668"/>
      <c r="J122" s="2670"/>
      <c r="K122" s="2654"/>
      <c r="L122" s="2654"/>
      <c r="M122" s="2654"/>
      <c r="N122" s="2656"/>
      <c r="O122" s="2654"/>
      <c r="P122" s="2654"/>
      <c r="Q122" s="2654"/>
      <c r="R122" s="2657"/>
      <c r="S122" s="2654"/>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529" customFormat="1" ht="17.25" hidden="1" customHeight="1">
      <c r="A123" s="257"/>
      <c r="C123" s="145"/>
      <c r="D123" s="2659"/>
      <c r="E123" s="2660"/>
      <c r="F123" s="2663"/>
      <c r="G123" s="2660"/>
      <c r="H123" s="2666"/>
      <c r="I123" s="2668"/>
      <c r="J123" s="2671"/>
      <c r="K123" s="2654"/>
      <c r="L123" s="2654"/>
      <c r="M123" s="2654"/>
      <c r="N123" s="2657"/>
      <c r="O123" s="2654"/>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529" customFormat="1" ht="17.25" hidden="1" customHeight="1">
      <c r="A124" s="257"/>
      <c r="C124" s="256"/>
      <c r="D124" s="2659"/>
      <c r="E124" s="2660"/>
      <c r="F124" s="2663"/>
      <c r="G124" s="2660"/>
      <c r="H124" s="2666"/>
      <c r="I124" s="2668"/>
      <c r="J124" s="2671"/>
      <c r="K124" s="2654"/>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529" customFormat="1" ht="17.25" hidden="1" customHeight="1">
      <c r="A125" s="257"/>
      <c r="C125" s="256"/>
      <c r="D125" s="2649"/>
      <c r="E125" s="2661"/>
      <c r="F125" s="2664"/>
      <c r="G125" s="2661"/>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529" customFormat="1" ht="17.25" hidden="1" customHeight="1">
      <c r="A126" s="257"/>
      <c r="C126" s="145"/>
      <c r="D126" s="2659">
        <v>2</v>
      </c>
      <c r="E126" s="2660" t="s">
        <v>271</v>
      </c>
      <c r="F126" s="2662" t="s">
        <v>19</v>
      </c>
      <c r="G126" s="2660"/>
      <c r="H126" s="2665"/>
      <c r="I126" s="2667"/>
      <c r="J126" s="2669"/>
      <c r="K126" s="2653"/>
      <c r="L126" s="2653"/>
      <c r="M126" s="2653"/>
      <c r="N126" s="2655"/>
      <c r="O126" s="2653"/>
      <c r="P126" s="2653"/>
      <c r="Q126" s="2653"/>
      <c r="R126" s="2658"/>
      <c r="S126" s="2653"/>
      <c r="T126" s="1388"/>
      <c r="U126" s="1388"/>
      <c r="V126" s="1390"/>
      <c r="W126" s="1214"/>
      <c r="X126" s="1185"/>
      <c r="Y126" s="1185"/>
      <c r="Z126" s="1185"/>
      <c r="AA126" s="1185"/>
      <c r="AB126" s="1185"/>
      <c r="AC126" s="1185" t="s">
        <v>272</v>
      </c>
      <c r="AD126" s="1185" t="s">
        <v>273</v>
      </c>
      <c r="AE126" s="1185" t="s">
        <v>274</v>
      </c>
      <c r="AF126" s="1185" t="s">
        <v>275</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9">
        <f>$I$126</f>
        <v>0</v>
      </c>
      <c r="AO126" s="1185" t="str">
        <f>$I$126&amp;"."&amp;$M$126</f>
        <v>.</v>
      </c>
      <c r="AP126" s="1177" t="str">
        <f>$I$126&amp;"."&amp;$M$126&amp;"."&amp;$Q$126</f>
        <v>..</v>
      </c>
      <c r="AQ126" s="1177" t="str">
        <f>$I$126&amp;"."&amp;$M$126&amp;"."&amp;$Q$126&amp;"."&amp;$U$126</f>
        <v>...</v>
      </c>
      <c r="AR126" s="1385">
        <v>0</v>
      </c>
    </row>
    <row r="127" spans="1:44" s="2529" customFormat="1" ht="17.25" hidden="1" customHeight="1">
      <c r="A127" s="257"/>
      <c r="C127" s="256"/>
      <c r="D127" s="2659"/>
      <c r="E127" s="2660"/>
      <c r="F127" s="2663"/>
      <c r="G127" s="2660"/>
      <c r="H127" s="2666"/>
      <c r="I127" s="2668"/>
      <c r="J127" s="2670"/>
      <c r="K127" s="2654"/>
      <c r="L127" s="2654"/>
      <c r="M127" s="2654"/>
      <c r="N127" s="2656"/>
      <c r="O127" s="2654"/>
      <c r="P127" s="2654"/>
      <c r="Q127" s="2654"/>
      <c r="R127" s="2657"/>
      <c r="S127" s="2654"/>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529" customFormat="1" ht="17.25" hidden="1" customHeight="1">
      <c r="A128" s="257"/>
      <c r="C128" s="256"/>
      <c r="D128" s="2649"/>
      <c r="E128" s="2661"/>
      <c r="F128" s="2663"/>
      <c r="G128" s="2661"/>
      <c r="H128" s="2666"/>
      <c r="I128" s="2668"/>
      <c r="J128" s="2671"/>
      <c r="K128" s="2654"/>
      <c r="L128" s="2654"/>
      <c r="M128" s="2654"/>
      <c r="N128" s="2657"/>
      <c r="O128" s="2654"/>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529" customFormat="1" ht="17.25" hidden="1" customHeight="1">
      <c r="A129" s="257"/>
      <c r="C129" s="256"/>
      <c r="D129" s="2649"/>
      <c r="E129" s="2661"/>
      <c r="F129" s="2663"/>
      <c r="G129" s="2661"/>
      <c r="H129" s="2666"/>
      <c r="I129" s="2668"/>
      <c r="J129" s="2671"/>
      <c r="K129" s="2654"/>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529" customFormat="1" ht="17.25" hidden="1" customHeight="1">
      <c r="A130" s="257"/>
      <c r="C130" s="256"/>
      <c r="D130" s="2649"/>
      <c r="E130" s="2661"/>
      <c r="F130" s="2664"/>
      <c r="G130" s="2661"/>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529" customFormat="1" ht="17.25" hidden="1" customHeight="1">
      <c r="A131" s="257"/>
      <c r="C131" s="145"/>
      <c r="D131" s="2659">
        <v>3</v>
      </c>
      <c r="E131" s="2660" t="s">
        <v>276</v>
      </c>
      <c r="F131" s="2662" t="s">
        <v>19</v>
      </c>
      <c r="G131" s="2660"/>
      <c r="H131" s="2665"/>
      <c r="I131" s="2667"/>
      <c r="J131" s="2669"/>
      <c r="K131" s="2653"/>
      <c r="L131" s="2653"/>
      <c r="M131" s="2653"/>
      <c r="N131" s="2655"/>
      <c r="O131" s="2653"/>
      <c r="P131" s="2653"/>
      <c r="Q131" s="2653"/>
      <c r="R131" s="2658"/>
      <c r="S131" s="2653"/>
      <c r="T131" s="1855"/>
      <c r="U131" s="1855"/>
      <c r="V131" s="1857"/>
      <c r="W131" s="1214"/>
      <c r="X131" s="1185"/>
      <c r="Y131" s="1185"/>
      <c r="Z131" s="1185"/>
      <c r="AA131" s="1185"/>
      <c r="AB131" s="1185"/>
      <c r="AC131" s="1185" t="s">
        <v>277</v>
      </c>
      <c r="AD131" s="1185" t="s">
        <v>278</v>
      </c>
      <c r="AE131" s="1185" t="s">
        <v>279</v>
      </c>
      <c r="AF131" s="1185" t="s">
        <v>280</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9">
        <f>$I$131</f>
        <v>0</v>
      </c>
      <c r="AO131" s="1185" t="str">
        <f>$I$131&amp;"."&amp;$M$131</f>
        <v>.</v>
      </c>
      <c r="AP131" s="1184" t="str">
        <f>$I$131&amp;"."&amp;$M$131&amp;"."&amp;$Q$131</f>
        <v>..</v>
      </c>
      <c r="AQ131" s="1184" t="str">
        <f>$I$131&amp;"."&amp;$M$131&amp;"."&amp;$Q$131&amp;"."&amp;$U$131</f>
        <v>...</v>
      </c>
      <c r="AR131" s="1385">
        <v>0</v>
      </c>
    </row>
    <row r="132" spans="1:44" s="2529" customFormat="1" ht="17.25" hidden="1" customHeight="1">
      <c r="A132" s="257"/>
      <c r="C132" s="256"/>
      <c r="D132" s="2659"/>
      <c r="E132" s="2660"/>
      <c r="F132" s="2663"/>
      <c r="G132" s="2660"/>
      <c r="H132" s="2666"/>
      <c r="I132" s="2668"/>
      <c r="J132" s="2670"/>
      <c r="K132" s="2654"/>
      <c r="L132" s="2654"/>
      <c r="M132" s="2654"/>
      <c r="N132" s="2656"/>
      <c r="O132" s="2654"/>
      <c r="P132" s="2654"/>
      <c r="Q132" s="2654"/>
      <c r="R132" s="2657"/>
      <c r="S132" s="2654"/>
      <c r="T132" s="1860"/>
      <c r="U132" s="1860"/>
      <c r="V132" s="1860"/>
      <c r="W132" s="1861"/>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529" customFormat="1" ht="17.25" hidden="1" customHeight="1">
      <c r="A133" s="257"/>
      <c r="C133" s="256"/>
      <c r="D133" s="2649"/>
      <c r="E133" s="2661"/>
      <c r="F133" s="2663"/>
      <c r="G133" s="2661"/>
      <c r="H133" s="2666"/>
      <c r="I133" s="2668"/>
      <c r="J133" s="2671"/>
      <c r="K133" s="2654"/>
      <c r="L133" s="2654"/>
      <c r="M133" s="2654"/>
      <c r="N133" s="2657"/>
      <c r="O133" s="2654"/>
      <c r="P133" s="1856"/>
      <c r="Q133" s="1860"/>
      <c r="R133" s="1860"/>
      <c r="S133" s="265"/>
      <c r="T133" s="265"/>
      <c r="U133" s="265"/>
      <c r="V133" s="265"/>
      <c r="W133" s="1861"/>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529" customFormat="1" ht="17.25" hidden="1" customHeight="1">
      <c r="A134" s="257"/>
      <c r="C134" s="256"/>
      <c r="D134" s="2649"/>
      <c r="E134" s="2661"/>
      <c r="F134" s="2663"/>
      <c r="G134" s="2661"/>
      <c r="H134" s="2666"/>
      <c r="I134" s="2668"/>
      <c r="J134" s="2671"/>
      <c r="K134" s="2654"/>
      <c r="L134" s="1860"/>
      <c r="M134" s="1860"/>
      <c r="N134" s="1860"/>
      <c r="O134" s="1860"/>
      <c r="P134" s="1860"/>
      <c r="Q134" s="1860"/>
      <c r="R134" s="1860"/>
      <c r="S134" s="265"/>
      <c r="T134" s="265"/>
      <c r="U134" s="265"/>
      <c r="V134" s="265"/>
      <c r="W134" s="1861"/>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529" customFormat="1" ht="17.25" hidden="1" customHeight="1">
      <c r="A135" s="257"/>
      <c r="C135" s="256"/>
      <c r="D135" s="2649"/>
      <c r="E135" s="2661"/>
      <c r="F135" s="2664"/>
      <c r="G135" s="2661"/>
      <c r="H135" s="1217"/>
      <c r="I135" s="1858"/>
      <c r="J135" s="1858"/>
      <c r="K135" s="1858"/>
      <c r="L135" s="1858"/>
      <c r="M135" s="1858"/>
      <c r="N135" s="1858"/>
      <c r="O135" s="1858"/>
      <c r="P135" s="1858"/>
      <c r="Q135" s="1858"/>
      <c r="R135" s="1858"/>
      <c r="S135" s="1219"/>
      <c r="T135" s="1219"/>
      <c r="U135" s="1219"/>
      <c r="V135" s="1219"/>
      <c r="W135" s="1859"/>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81</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H99:H102"/>
    <mergeCell ref="I99:I102"/>
    <mergeCell ref="I121:I124"/>
    <mergeCell ref="J121:J124"/>
    <mergeCell ref="K121:K124"/>
    <mergeCell ref="L121:L123"/>
    <mergeCell ref="M121:M123"/>
    <mergeCell ref="N121:N123"/>
    <mergeCell ref="N99:N101"/>
    <mergeCell ref="O99:O101"/>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O121:O123"/>
    <mergeCell ref="S126:S127"/>
    <mergeCell ref="D126:D130"/>
    <mergeCell ref="E126:E130"/>
    <mergeCell ref="F126:F130"/>
    <mergeCell ref="G126:G130"/>
    <mergeCell ref="H126:H129"/>
    <mergeCell ref="I126:I129"/>
    <mergeCell ref="J126:J129"/>
    <mergeCell ref="K126:K129"/>
    <mergeCell ref="L126:L128"/>
    <mergeCell ref="H121:H124"/>
    <mergeCell ref="S110:S111"/>
    <mergeCell ref="D110:D114"/>
    <mergeCell ref="E110:E114"/>
    <mergeCell ref="F110:F114"/>
    <mergeCell ref="G110:G114"/>
    <mergeCell ref="H110:H113"/>
    <mergeCell ref="I110:I113"/>
    <mergeCell ref="J110:J113"/>
    <mergeCell ref="K110:K113"/>
    <mergeCell ref="L110:L112"/>
    <mergeCell ref="D53:D57"/>
    <mergeCell ref="F99:F103"/>
    <mergeCell ref="G99:G103"/>
    <mergeCell ref="M110:M112"/>
    <mergeCell ref="N110:N112"/>
    <mergeCell ref="O110:O112"/>
    <mergeCell ref="P110:P111"/>
    <mergeCell ref="Q110:Q111"/>
    <mergeCell ref="R110:R111"/>
    <mergeCell ref="J99:J102"/>
    <mergeCell ref="K99:K102"/>
    <mergeCell ref="L99:L101"/>
    <mergeCell ref="P99:P100"/>
    <mergeCell ref="Q99:Q100"/>
    <mergeCell ref="R99:R100"/>
    <mergeCell ref="S28:S29"/>
    <mergeCell ref="S33:S34"/>
    <mergeCell ref="S38:S39"/>
    <mergeCell ref="S43:S44"/>
    <mergeCell ref="R43:R44"/>
    <mergeCell ref="O48:O50"/>
    <mergeCell ref="N38:N40"/>
    <mergeCell ref="D105:D109"/>
    <mergeCell ref="E105:E109"/>
    <mergeCell ref="F105:F109"/>
    <mergeCell ref="G105:G109"/>
    <mergeCell ref="H105:H108"/>
    <mergeCell ref="I105:I108"/>
    <mergeCell ref="J105:J108"/>
    <mergeCell ref="K105:K108"/>
    <mergeCell ref="L105:L107"/>
    <mergeCell ref="D38:D42"/>
    <mergeCell ref="D48:D52"/>
    <mergeCell ref="E48:E52"/>
    <mergeCell ref="F48:F52"/>
    <mergeCell ref="G48:G52"/>
    <mergeCell ref="H48:H51"/>
    <mergeCell ref="I48:I51"/>
    <mergeCell ref="J48:J51"/>
    <mergeCell ref="H43:H46"/>
    <mergeCell ref="G43:G47"/>
    <mergeCell ref="P53:P54"/>
    <mergeCell ref="Q53:Q54"/>
    <mergeCell ref="R53:R54"/>
    <mergeCell ref="S53:S54"/>
    <mergeCell ref="P48:P49"/>
    <mergeCell ref="Q48:Q49"/>
    <mergeCell ref="R48:R49"/>
    <mergeCell ref="S48:S49"/>
    <mergeCell ref="K48:K51"/>
    <mergeCell ref="L48:L50"/>
    <mergeCell ref="R38:R39"/>
    <mergeCell ref="P33:P34"/>
    <mergeCell ref="Q33:Q34"/>
    <mergeCell ref="R33:R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D33:D37"/>
    <mergeCell ref="E33:E37"/>
    <mergeCell ref="F33:F37"/>
    <mergeCell ref="H33:H36"/>
    <mergeCell ref="I33:I36"/>
    <mergeCell ref="N33:N35"/>
    <mergeCell ref="P43:P44"/>
    <mergeCell ref="O38:O40"/>
    <mergeCell ref="Q43:Q44"/>
    <mergeCell ref="O43:O45"/>
    <mergeCell ref="J33:J36"/>
    <mergeCell ref="D43:D47"/>
    <mergeCell ref="G33:G37"/>
    <mergeCell ref="K33:K36"/>
    <mergeCell ref="O33:O35"/>
    <mergeCell ref="E38:E42"/>
    <mergeCell ref="F38:F42"/>
    <mergeCell ref="H38:H41"/>
    <mergeCell ref="L33:L35"/>
    <mergeCell ref="M33:M35"/>
    <mergeCell ref="P38:P39"/>
    <mergeCell ref="Q38:Q39"/>
    <mergeCell ref="E43:E47"/>
    <mergeCell ref="F43:F4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I43:I46"/>
    <mergeCell ref="J43:J46"/>
    <mergeCell ref="I38:I41"/>
    <mergeCell ref="J38:J41"/>
    <mergeCell ref="L38:L40"/>
    <mergeCell ref="M38:M40"/>
    <mergeCell ref="M48:M50"/>
    <mergeCell ref="N48:N5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28:P29"/>
    <mergeCell ref="Q28:Q29"/>
    <mergeCell ref="P18:P19"/>
    <mergeCell ref="O18:O20"/>
    <mergeCell ref="P23:P24"/>
    <mergeCell ref="Q23:Q24"/>
    <mergeCell ref="O13:O15"/>
    <mergeCell ref="D5:J5"/>
    <mergeCell ref="D9:D10"/>
    <mergeCell ref="D7:J7"/>
    <mergeCell ref="G9:G10"/>
    <mergeCell ref="H9:I10"/>
    <mergeCell ref="D6:J6"/>
    <mergeCell ref="D13:D17"/>
    <mergeCell ref="E13:E17"/>
    <mergeCell ref="G13:G17"/>
    <mergeCell ref="J9:J10"/>
    <mergeCell ref="H11:I11"/>
    <mergeCell ref="E9:F9"/>
    <mergeCell ref="F13:F17"/>
    <mergeCell ref="H13:H16"/>
    <mergeCell ref="I13:I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G18:G22"/>
    <mergeCell ref="K18:K21"/>
    <mergeCell ref="N28:N30"/>
    <mergeCell ref="S63:S64"/>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F58:F62"/>
    <mergeCell ref="G58:G62"/>
    <mergeCell ref="H58:H61"/>
    <mergeCell ref="I58:I61"/>
    <mergeCell ref="J58:J61"/>
    <mergeCell ref="K58:K61"/>
    <mergeCell ref="L58:L60"/>
    <mergeCell ref="D58:D62"/>
    <mergeCell ref="M94:M96"/>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E58:E62"/>
    <mergeCell ref="S13:S14"/>
    <mergeCell ref="P13:P14"/>
    <mergeCell ref="Q13:Q14"/>
    <mergeCell ref="R13:R14"/>
    <mergeCell ref="K13:K16"/>
    <mergeCell ref="M13:M15"/>
    <mergeCell ref="L13:L15"/>
    <mergeCell ref="N13:N15"/>
    <mergeCell ref="J13:J16"/>
  </mergeCells>
  <dataValidations count="18">
    <dataValidation allowBlank="1" showInputMessage="1" showErrorMessage="1" prompt="Для выбора выполните двойной щелчок левой клавиши мыши по соответствующей ячейке." sqref="K38:K39 K48:K49 O48:O49 S48:S49 K18:K19 K43:K44 K28:K29 O38:O39 O18:O19 O43:O44 O28:O29 S38:S39 S18:S19 S43:S44 S28:S29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48:J49 R48:R49 V48:W48 J18:J19 J43:J44 J28:J29 R38:R39 R18:R19 R43:R44 R28:R29 V38:W38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3">
      <formula1>900</formula1>
    </dataValidation>
    <dataValidation allowBlank="1" showInputMessage="1" showErrorMessage="1" prompt="Для выбора выполните двойной щелчок левой клавиши мыши по соответствующей ячейке." sqref="K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
    <dataValidation allowBlank="1" showInputMessage="1" showErrorMessage="1" prompt="Для выбора выполните двойной щелчок левой клавиши мыши по соответствующей ячейке." sqref="O13"/>
    <dataValidation type="textLength" operator="lessThanOrEqual" allowBlank="1" showInputMessage="1" showErrorMessage="1" errorTitle="Ошибка" error="Допускается ввод не более 900 символов!" sqref="R13">
      <formula1>900</formula1>
    </dataValidation>
    <dataValidation allowBlank="1" showInputMessage="1" showErrorMessage="1" prompt="Для выбора выполните двойной щелчок левой клавиши мыши по соответствующей ячейке." sqref="S13"/>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J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
    <dataValidation type="textLength" operator="lessThanOrEqual" allowBlank="1" showInputMessage="1" showErrorMessage="1" errorTitle="Ошибка" error="Допускается ввод не более 900 символов!" sqref="R14">
      <formula1>900</formula1>
    </dataValidation>
    <dataValidation allowBlank="1" showInputMessage="1" showErrorMessage="1" prompt="Для выбора выполните двойной щелчок левой клавиши мыши по соответствующей ячейке." sqref="S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511" hidden="1" customWidth="1"/>
    <col min="2" max="2" width="9.140625" style="2513" hidden="1" customWidth="1"/>
    <col min="3" max="3" width="4" style="2558" customWidth="1"/>
    <col min="4" max="4" width="6" style="2513" customWidth="1"/>
    <col min="5" max="5" width="47" style="2513" customWidth="1"/>
    <col min="6" max="6" width="9" style="2513" customWidth="1"/>
    <col min="7" max="7" width="25.7109375" style="2513" hidden="1" customWidth="1"/>
    <col min="8" max="8" width="34" style="2513" hidden="1" customWidth="1"/>
    <col min="9" max="9" width="25.7109375" style="2513" customWidth="1"/>
    <col min="10" max="10" width="33" style="2513" customWidth="1"/>
    <col min="11" max="11" width="50" style="2519" customWidth="1"/>
    <col min="12" max="20" width="10" style="2513" customWidth="1"/>
    <col min="21" max="21" width="10" style="2559" customWidth="1"/>
    <col min="22" max="22" width="10.5703125" style="2513" hidden="1"/>
  </cols>
  <sheetData>
    <row r="1" spans="1:22" s="2519" customFormat="1" ht="22.5" hidden="1" customHeight="1">
      <c r="C1" s="607"/>
      <c r="G1" s="352">
        <v>4</v>
      </c>
      <c r="I1" s="352">
        <v>4</v>
      </c>
      <c r="U1" s="355"/>
      <c r="V1" s="352" t="s">
        <v>14</v>
      </c>
    </row>
    <row r="2" spans="1:22" s="2513" customFormat="1" ht="15" hidden="1" customHeight="1">
      <c r="A2" s="297"/>
      <c r="C2" s="112"/>
      <c r="D2" s="282"/>
      <c r="E2" s="608"/>
      <c r="F2" s="457"/>
      <c r="G2" s="551"/>
      <c r="H2" s="551"/>
      <c r="I2" s="551"/>
      <c r="J2" s="551"/>
      <c r="U2" s="609"/>
      <c r="V2" s="444">
        <v>0</v>
      </c>
    </row>
    <row r="3" spans="1:22" s="2519"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749" t="s">
        <v>1162</v>
      </c>
      <c r="E5" s="2749"/>
      <c r="F5" s="2749"/>
      <c r="G5" s="2749"/>
      <c r="H5" s="2749"/>
      <c r="I5" s="2749"/>
      <c r="J5" s="2749"/>
      <c r="V5" s="440">
        <v>63</v>
      </c>
    </row>
    <row r="6" spans="1:22" ht="15.75" customHeight="1">
      <c r="C6" s="112"/>
      <c r="D6" s="2696" t="str">
        <f>IF(org=0,"Не определено",org)</f>
        <v>ООО "Ноябрьская ПГЭ"</v>
      </c>
      <c r="E6" s="2696"/>
      <c r="F6" s="2696"/>
      <c r="G6" s="2696"/>
      <c r="H6" s="2696"/>
      <c r="I6" s="2696"/>
      <c r="J6" s="2696"/>
      <c r="K6" s="472"/>
      <c r="V6" s="440">
        <v>15</v>
      </c>
    </row>
    <row r="7" spans="1:22" ht="15.75" customHeight="1">
      <c r="C7" s="112"/>
      <c r="D7" s="687"/>
      <c r="E7" s="444"/>
      <c r="F7" s="444"/>
      <c r="G7" s="472">
        <v>22</v>
      </c>
      <c r="I7" s="472">
        <v>1</v>
      </c>
      <c r="J7" s="687"/>
      <c r="V7" s="440">
        <v>15</v>
      </c>
    </row>
    <row r="8" spans="1:22" s="2513" customFormat="1" ht="1.1499999999999999" customHeight="1">
      <c r="A8" s="692"/>
      <c r="C8" s="112"/>
      <c r="D8" s="444"/>
      <c r="E8" s="444"/>
      <c r="F8" s="444"/>
      <c r="G8" s="472"/>
      <c r="H8" s="687"/>
      <c r="I8" s="472" t="s">
        <v>116</v>
      </c>
      <c r="J8" s="687"/>
      <c r="K8" s="352"/>
      <c r="U8" s="610"/>
      <c r="V8" s="691">
        <v>1</v>
      </c>
    </row>
    <row r="9" spans="1:22" ht="15.75" customHeight="1">
      <c r="C9" s="112"/>
      <c r="D9" s="646"/>
      <c r="E9" s="2849" t="s">
        <v>104</v>
      </c>
      <c r="F9" s="2850"/>
      <c r="G9" s="2874" t="str">
        <f>IF(G8="","",INDEX(DIFFERENTIATION_UNMERGE_VD,MATCH(G8,DIFFERENTIATION_ID_DIFF,0)))</f>
        <v/>
      </c>
      <c r="H9" s="2875"/>
      <c r="I9" s="2874">
        <f>IF(I8="","",INDEX(DIFFERENTIATION_UNMERGE_VD,MATCH(I8,DIFFERENTIATION_ID_DIFF,0)))</f>
        <v>0</v>
      </c>
      <c r="J9" s="2875"/>
      <c r="K9" s="2695" t="s">
        <v>303</v>
      </c>
      <c r="V9" s="440">
        <v>15</v>
      </c>
    </row>
    <row r="10" spans="1:22" s="2513" customFormat="1" ht="15.75" customHeight="1">
      <c r="A10" s="692"/>
      <c r="C10" s="112"/>
      <c r="D10" s="646"/>
      <c r="E10" s="2849" t="s">
        <v>566</v>
      </c>
      <c r="F10" s="2850"/>
      <c r="G10" s="2874" t="str">
        <f>IF(G8="","",INDEX(DIFFERENTIATION_UNMERGE_AREA,MATCH(G8,DIFFERENTIATION_ID_DIFF,0)))</f>
        <v/>
      </c>
      <c r="H10" s="2875"/>
      <c r="I10" s="2874" t="str">
        <f>IF(I8="","",INDEX(DIFFERENTIATION_UNMERGE_AREA,MATCH(I8,DIFFERENTIATION_ID_DIFF,0)))</f>
        <v/>
      </c>
      <c r="J10" s="2875"/>
      <c r="K10" s="2714"/>
      <c r="U10" s="610"/>
      <c r="V10" s="691">
        <v>15</v>
      </c>
    </row>
    <row r="11" spans="1:22" s="2513" customFormat="1" ht="15.75" customHeight="1">
      <c r="A11" s="692"/>
      <c r="C11" s="112"/>
      <c r="D11" s="646"/>
      <c r="E11" s="2849" t="s">
        <v>567</v>
      </c>
      <c r="F11" s="2850"/>
      <c r="G11" s="2874" t="str">
        <f>IF(G8="","",INDEX(DIFFERENTIATION_UNMERGE_SYSTEM,MATCH(G8,DIFFERENTIATION_ID_DIFF,0)))</f>
        <v/>
      </c>
      <c r="H11" s="2875"/>
      <c r="I11" s="2874" t="str">
        <f>IF(I8="","",INDEX(DIFFERENTIATION_UNMERGE_SYSTEM,MATCH(I8,DIFFERENTIATION_ID_DIFF,0)))</f>
        <v>без дифференциации</v>
      </c>
      <c r="J11" s="2875"/>
      <c r="K11" s="2714"/>
      <c r="U11" s="610"/>
      <c r="V11" s="691">
        <v>15</v>
      </c>
    </row>
    <row r="12" spans="1:22" s="2513" customFormat="1" ht="15.75" customHeight="1">
      <c r="A12" s="692"/>
      <c r="C12" s="112"/>
      <c r="D12" s="2851" t="s">
        <v>302</v>
      </c>
      <c r="E12" s="2852"/>
      <c r="F12" s="2852"/>
      <c r="G12" s="811"/>
      <c r="H12" s="811"/>
      <c r="I12" s="811"/>
      <c r="J12" s="811"/>
      <c r="K12" s="2714"/>
      <c r="U12" s="610"/>
      <c r="V12" s="691">
        <v>15</v>
      </c>
    </row>
    <row r="13" spans="1:22" ht="35.65" customHeight="1">
      <c r="C13" s="112"/>
      <c r="D13" s="734" t="s">
        <v>87</v>
      </c>
      <c r="E13" s="736" t="s">
        <v>304</v>
      </c>
      <c r="F13" s="736" t="s">
        <v>568</v>
      </c>
      <c r="G13" s="737" t="s">
        <v>305</v>
      </c>
      <c r="H13" s="736" t="s">
        <v>392</v>
      </c>
      <c r="I13" s="737" t="s">
        <v>305</v>
      </c>
      <c r="J13" s="736" t="s">
        <v>392</v>
      </c>
      <c r="K13" s="2744"/>
      <c r="V13" s="440">
        <v>34</v>
      </c>
    </row>
    <row r="14" spans="1:22" ht="15" hidden="1" customHeight="1">
      <c r="C14" s="112"/>
      <c r="D14" s="528" t="s">
        <v>108</v>
      </c>
      <c r="E14" s="528" t="s">
        <v>109</v>
      </c>
      <c r="F14" s="528" t="s">
        <v>89</v>
      </c>
      <c r="G14" s="594" t="str">
        <f>G1&amp;".1"</f>
        <v>4.1</v>
      </c>
      <c r="H14" s="594"/>
      <c r="I14" s="594" t="str">
        <f>I1&amp;".1"</f>
        <v>4.1</v>
      </c>
      <c r="J14" s="594"/>
      <c r="K14" s="225"/>
      <c r="V14" s="440">
        <v>0</v>
      </c>
    </row>
    <row r="15" spans="1:22" ht="22.5" hidden="1" customHeight="1">
      <c r="A15" s="440"/>
      <c r="C15" s="461"/>
      <c r="D15" s="456">
        <v>1</v>
      </c>
      <c r="E15" s="612" t="s">
        <v>810</v>
      </c>
      <c r="F15" s="456" t="s">
        <v>811</v>
      </c>
      <c r="G15" s="613"/>
      <c r="H15" s="613"/>
      <c r="I15" s="613"/>
      <c r="J15" s="613"/>
      <c r="K15" s="225" t="s">
        <v>812</v>
      </c>
      <c r="V15" s="440">
        <v>0</v>
      </c>
    </row>
    <row r="16" spans="1:22" ht="22.5" hidden="1" customHeight="1">
      <c r="A16" s="440"/>
      <c r="C16" s="461"/>
      <c r="D16" s="456">
        <v>2</v>
      </c>
      <c r="E16" s="215" t="s">
        <v>813</v>
      </c>
      <c r="F16" s="456" t="s">
        <v>814</v>
      </c>
      <c r="G16" s="613"/>
      <c r="H16" s="613"/>
      <c r="I16" s="613"/>
      <c r="J16" s="613"/>
      <c r="K16" s="225" t="s">
        <v>815</v>
      </c>
      <c r="V16" s="440">
        <v>0</v>
      </c>
    </row>
    <row r="17" spans="1:22" ht="123.75" hidden="1" customHeight="1">
      <c r="A17" s="440"/>
      <c r="C17" s="461"/>
      <c r="D17" s="456">
        <v>3</v>
      </c>
      <c r="E17" s="215" t="s">
        <v>1163</v>
      </c>
      <c r="F17" s="456" t="s">
        <v>308</v>
      </c>
      <c r="G17" s="613"/>
      <c r="H17" s="613"/>
      <c r="I17" s="613"/>
      <c r="J17" s="613"/>
      <c r="K17" s="225" t="s">
        <v>1164</v>
      </c>
      <c r="V17" s="440">
        <v>0</v>
      </c>
    </row>
    <row r="18" spans="1:22" ht="48.2" customHeight="1">
      <c r="A18" s="440"/>
      <c r="C18" s="461"/>
      <c r="D18" s="456">
        <v>3</v>
      </c>
      <c r="E18" s="215" t="s">
        <v>816</v>
      </c>
      <c r="F18" s="456" t="s">
        <v>308</v>
      </c>
      <c r="G18" s="738" t="s">
        <v>308</v>
      </c>
      <c r="H18" s="739" t="s">
        <v>308</v>
      </c>
      <c r="I18" s="456" t="s">
        <v>308</v>
      </c>
      <c r="J18" s="513" t="s">
        <v>308</v>
      </c>
      <c r="K18" s="225" t="s">
        <v>1165</v>
      </c>
      <c r="V18" s="440">
        <v>46</v>
      </c>
    </row>
    <row r="19" spans="1:22" ht="35.65" customHeight="1">
      <c r="A19" s="440"/>
      <c r="C19" s="461"/>
      <c r="D19" s="474" t="s">
        <v>326</v>
      </c>
      <c r="E19" s="494" t="s">
        <v>818</v>
      </c>
      <c r="F19" s="456" t="s">
        <v>819</v>
      </c>
      <c r="G19" s="746"/>
      <c r="H19" s="45"/>
      <c r="I19" s="746"/>
      <c r="J19" s="747"/>
      <c r="K19" s="614"/>
      <c r="V19" s="440">
        <v>34</v>
      </c>
    </row>
    <row r="20" spans="1:22" ht="35.65" customHeight="1">
      <c r="A20" s="440"/>
      <c r="C20" s="461"/>
      <c r="D20" s="1805" t="s">
        <v>334</v>
      </c>
      <c r="E20" s="494" t="s">
        <v>820</v>
      </c>
      <c r="F20" s="456" t="s">
        <v>821</v>
      </c>
      <c r="G20" s="746"/>
      <c r="H20" s="45"/>
      <c r="I20" s="746"/>
      <c r="J20" s="45"/>
      <c r="K20" s="614"/>
      <c r="V20" s="440">
        <v>34</v>
      </c>
    </row>
    <row r="21" spans="1:22" ht="48.2" customHeight="1">
      <c r="A21" s="440"/>
      <c r="C21" s="461"/>
      <c r="D21" s="1805" t="s">
        <v>336</v>
      </c>
      <c r="E21" s="494" t="s">
        <v>822</v>
      </c>
      <c r="F21" s="456" t="s">
        <v>573</v>
      </c>
      <c r="G21" s="615"/>
      <c r="H21" s="45"/>
      <c r="I21" s="615"/>
      <c r="J21" s="45"/>
      <c r="K21" s="614"/>
      <c r="V21" s="440">
        <v>46</v>
      </c>
    </row>
    <row r="22" spans="1:22" ht="67.5" hidden="1" customHeight="1">
      <c r="A22" s="440"/>
      <c r="C22" s="461"/>
      <c r="D22" s="456">
        <v>5</v>
      </c>
      <c r="E22" s="215" t="s">
        <v>1166</v>
      </c>
      <c r="F22" s="456" t="s">
        <v>560</v>
      </c>
      <c r="G22" s="616"/>
      <c r="H22" s="617"/>
      <c r="I22" s="616"/>
      <c r="J22" s="617"/>
      <c r="K22" s="225" t="s">
        <v>1167</v>
      </c>
      <c r="V22" s="440">
        <v>0</v>
      </c>
    </row>
    <row r="23" spans="1:22" ht="33.75" hidden="1" customHeight="1">
      <c r="C23" s="386"/>
      <c r="D23" s="456">
        <v>6</v>
      </c>
      <c r="E23" s="215" t="s">
        <v>1168</v>
      </c>
      <c r="F23" s="456" t="s">
        <v>1169</v>
      </c>
      <c r="G23" s="616"/>
      <c r="H23" s="616"/>
      <c r="I23" s="616"/>
      <c r="J23" s="616"/>
      <c r="K23" s="225" t="s">
        <v>1170</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81</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571" customWidth="1"/>
    <col min="2" max="2" width="11" style="2523" customWidth="1"/>
    <col min="3" max="3" width="9.140625" style="2523"/>
    <col min="4" max="4" width="26.5703125" style="2523" customWidth="1"/>
    <col min="5" max="5" width="36.85546875" style="2566" customWidth="1"/>
    <col min="6" max="6" width="23.5703125" style="2566" customWidth="1"/>
    <col min="7" max="7" width="31.42578125" style="2566" customWidth="1"/>
    <col min="8" max="8" width="40.85546875" style="2566" customWidth="1"/>
    <col min="9" max="9" width="14.5703125" style="2566" customWidth="1"/>
    <col min="10" max="10" width="26.85546875" style="2566" customWidth="1"/>
    <col min="11" max="11" width="50" style="2566" customWidth="1"/>
    <col min="12" max="12" width="52.42578125" style="2566" customWidth="1"/>
    <col min="13" max="13" width="10.7109375" style="2566" customWidth="1"/>
    <col min="14" max="14" width="55.140625" style="2566" customWidth="1"/>
    <col min="15" max="15" width="31.85546875" style="2566" customWidth="1"/>
    <col min="16" max="16" width="23.85546875" style="2566" customWidth="1"/>
    <col min="17" max="17" width="46.5703125" style="2566" customWidth="1"/>
    <col min="18" max="18" width="24" style="2566" customWidth="1"/>
    <col min="19" max="19" width="20.5703125" style="2566" customWidth="1"/>
    <col min="20" max="20" width="22" style="2566" customWidth="1"/>
    <col min="21" max="22" width="26.42578125" style="2566" customWidth="1"/>
    <col min="23" max="23" width="8.28515625" style="2566" hidden="1" customWidth="1"/>
    <col min="24" max="24" width="59.7109375" style="2566" customWidth="1"/>
    <col min="25" max="25" width="49.140625" style="2566" customWidth="1"/>
    <col min="26" max="26" width="11.140625" style="2566" customWidth="1"/>
    <col min="27" max="30" width="29" style="2566" customWidth="1"/>
    <col min="31" max="31" width="9.140625" style="2566"/>
    <col min="32" max="32" width="34.7109375" style="2566" customWidth="1"/>
    <col min="33" max="33" width="9.140625" style="2566"/>
    <col min="34" max="35" width="34.42578125" style="2566" customWidth="1"/>
    <col min="36" max="36" width="9.140625" style="2566"/>
    <col min="37" max="37" width="24.5703125" style="2566" customWidth="1"/>
    <col min="38" max="38" width="9.140625" style="2566"/>
    <col min="39" max="39" width="26.140625" style="2566" customWidth="1"/>
    <col min="40" max="40" width="1.7109375" style="2566" customWidth="1"/>
    <col min="41" max="41" width="9.140625" style="2566"/>
    <col min="42" max="43" width="47.85546875" style="2566" customWidth="1"/>
    <col min="44" max="44" width="1.7109375" style="2566" customWidth="1"/>
    <col min="45" max="45" width="21.42578125" style="2566" customWidth="1"/>
    <col min="46" max="46" width="1.7109375" style="2566" customWidth="1"/>
    <col min="47" max="47" width="31.28515625" style="2566" customWidth="1"/>
    <col min="48" max="48" width="1.7109375" style="2566" customWidth="1"/>
    <col min="49" max="50" width="9.140625" style="2566"/>
    <col min="51" max="51" width="3.7109375" style="2566" customWidth="1"/>
    <col min="52" max="52" width="60.85546875" style="2566" customWidth="1"/>
    <col min="53" max="53" width="49.28515625" style="2566" customWidth="1"/>
    <col min="54" max="54" width="35.140625" style="2566" customWidth="1"/>
    <col min="55" max="55" width="9.140625" style="2566"/>
    <col min="56" max="56" width="1.7109375" style="2566" customWidth="1"/>
    <col min="57" max="57" width="12.5703125" style="2572" customWidth="1"/>
    <col min="58" max="58" width="14.28515625" style="2572" customWidth="1"/>
    <col min="59" max="59" width="30.7109375" style="2566" customWidth="1"/>
    <col min="60" max="60" width="40.7109375" style="2573" customWidth="1"/>
    <col min="61" max="61" width="15" style="2573" customWidth="1"/>
    <col min="62" max="62" width="40.7109375" style="2573" customWidth="1"/>
    <col min="63" max="63" width="2.7109375" style="2573" customWidth="1"/>
    <col min="64" max="64" width="44.7109375" style="2573" customWidth="1"/>
    <col min="65" max="65" width="2.7109375" style="2573" customWidth="1"/>
    <col min="66" max="66" width="40.7109375" style="2573" customWidth="1"/>
    <col min="67" max="68" width="9.140625" style="2566"/>
    <col min="69" max="69" width="18.140625" style="2566" customWidth="1"/>
    <col min="70" max="70" width="57.85546875" style="2566" customWidth="1"/>
    <col min="71" max="71" width="1.7109375" style="2566" customWidth="1"/>
    <col min="72" max="72" width="22.5703125" style="2566" customWidth="1"/>
    <col min="73" max="73" width="57.85546875" style="2566" customWidth="1"/>
    <col min="74" max="74" width="1.7109375" style="2566" customWidth="1"/>
    <col min="75" max="75" width="22.5703125" style="2566" customWidth="1"/>
    <col min="76" max="76" width="57.85546875" style="2566" customWidth="1"/>
    <col min="77" max="77" width="1.7109375" style="2566" customWidth="1"/>
    <col min="78" max="78" width="22.5703125" style="2566" customWidth="1"/>
    <col min="79" max="79" width="57.85546875" style="2566" customWidth="1"/>
    <col min="80" max="81" width="9.140625" style="2566"/>
    <col min="82" max="82" width="49.5703125" style="2566" customWidth="1"/>
  </cols>
  <sheetData>
    <row r="1" spans="1:79" s="2570" customFormat="1" ht="11.25" customHeight="1">
      <c r="A1" s="988" t="s">
        <v>1171</v>
      </c>
      <c r="B1" s="988" t="s">
        <v>1172</v>
      </c>
      <c r="C1" s="988" t="s">
        <v>1173</v>
      </c>
      <c r="D1" s="988" t="s">
        <v>1174</v>
      </c>
      <c r="E1" s="988" t="s">
        <v>1175</v>
      </c>
      <c r="F1" s="988" t="s">
        <v>1176</v>
      </c>
      <c r="G1" s="988" t="s">
        <v>1177</v>
      </c>
      <c r="H1" s="988" t="s">
        <v>1178</v>
      </c>
      <c r="I1" s="988" t="s">
        <v>1179</v>
      </c>
      <c r="J1" s="988" t="s">
        <v>1180</v>
      </c>
      <c r="K1" s="988" t="s">
        <v>1181</v>
      </c>
      <c r="L1" s="988" t="s">
        <v>1182</v>
      </c>
      <c r="M1" s="988"/>
      <c r="N1" s="988" t="s">
        <v>1183</v>
      </c>
      <c r="O1" s="988" t="s">
        <v>1184</v>
      </c>
      <c r="P1" s="988" t="s">
        <v>1185</v>
      </c>
      <c r="Q1" s="988" t="s">
        <v>1186</v>
      </c>
      <c r="R1" s="988" t="s">
        <v>1187</v>
      </c>
      <c r="S1" s="988" t="s">
        <v>1188</v>
      </c>
      <c r="T1" s="988" t="s">
        <v>1189</v>
      </c>
      <c r="U1" s="988" t="s">
        <v>1190</v>
      </c>
      <c r="V1" s="988"/>
      <c r="W1" s="726" t="s">
        <v>1191</v>
      </c>
      <c r="X1" s="988" t="s">
        <v>1192</v>
      </c>
      <c r="Y1" s="988" t="s">
        <v>1193</v>
      </c>
      <c r="Z1" s="988"/>
      <c r="AA1" s="988" t="s">
        <v>1194</v>
      </c>
      <c r="AB1" s="988"/>
      <c r="AC1" s="988" t="s">
        <v>1195</v>
      </c>
      <c r="AD1" s="988"/>
      <c r="AF1" s="988" t="s">
        <v>1196</v>
      </c>
      <c r="AH1" s="988" t="s">
        <v>1197</v>
      </c>
      <c r="AI1" s="988" t="s">
        <v>1198</v>
      </c>
      <c r="AK1" s="988" t="s">
        <v>1199</v>
      </c>
      <c r="AM1" s="988" t="s">
        <v>1200</v>
      </c>
      <c r="AP1" s="988" t="s">
        <v>1201</v>
      </c>
      <c r="AQ1" s="988" t="s">
        <v>1202</v>
      </c>
      <c r="AS1" s="988" t="s">
        <v>1203</v>
      </c>
      <c r="AU1" s="988" t="s">
        <v>1204</v>
      </c>
      <c r="AW1" s="988" t="s">
        <v>1205</v>
      </c>
      <c r="AX1" s="988" t="s">
        <v>1206</v>
      </c>
      <c r="AZ1" s="1070" t="s">
        <v>1207</v>
      </c>
      <c r="BB1" s="988" t="s">
        <v>1208</v>
      </c>
      <c r="BC1" s="988"/>
      <c r="BE1" s="988" t="s">
        <v>1209</v>
      </c>
      <c r="BF1" s="988" t="s">
        <v>1210</v>
      </c>
      <c r="BH1" s="990" t="s">
        <v>809</v>
      </c>
      <c r="BI1" s="991"/>
      <c r="BJ1" s="992" t="s">
        <v>1211</v>
      </c>
      <c r="BK1" s="991"/>
      <c r="BL1" s="993" t="s">
        <v>908</v>
      </c>
      <c r="BM1" s="991"/>
      <c r="BN1" s="994" t="s">
        <v>1212</v>
      </c>
      <c r="BS1" s="1345"/>
    </row>
    <row r="2" spans="1:79" ht="11.25" customHeight="1">
      <c r="A2" s="995" t="s">
        <v>1213</v>
      </c>
      <c r="B2" s="996">
        <v>2000</v>
      </c>
      <c r="C2" s="996">
        <v>2022</v>
      </c>
      <c r="D2" s="996" t="s">
        <v>66</v>
      </c>
      <c r="E2" s="997" t="s">
        <v>1214</v>
      </c>
      <c r="F2" s="997" t="s">
        <v>1215</v>
      </c>
      <c r="G2" s="997" t="s">
        <v>1216</v>
      </c>
      <c r="H2" s="998" t="s">
        <v>55</v>
      </c>
      <c r="I2" s="997" t="s">
        <v>108</v>
      </c>
      <c r="J2" s="997" t="s">
        <v>1217</v>
      </c>
      <c r="K2" s="999" t="s">
        <v>1218</v>
      </c>
      <c r="L2" s="1000"/>
      <c r="M2" s="999">
        <v>1</v>
      </c>
      <c r="N2" s="1080" t="s">
        <v>1219</v>
      </c>
      <c r="O2" s="998" t="s">
        <v>450</v>
      </c>
      <c r="P2" s="1001" t="s">
        <v>1220</v>
      </c>
      <c r="Q2" s="1002" t="s">
        <v>1221</v>
      </c>
      <c r="R2" s="81" t="s">
        <v>449</v>
      </c>
      <c r="S2" s="81" t="s">
        <v>1222</v>
      </c>
      <c r="T2" s="1003" t="s">
        <v>1223</v>
      </c>
      <c r="U2" s="1000" t="s">
        <v>1224</v>
      </c>
      <c r="V2" s="1004">
        <v>1</v>
      </c>
      <c r="W2" s="1005"/>
      <c r="X2" s="1005" t="s">
        <v>1225</v>
      </c>
      <c r="Y2" s="996" t="s">
        <v>1226</v>
      </c>
      <c r="Z2" s="1006"/>
      <c r="AA2" s="996" t="s">
        <v>1227</v>
      </c>
      <c r="AB2" s="1007" t="s">
        <v>1227</v>
      </c>
      <c r="AC2" s="996" t="s">
        <v>1228</v>
      </c>
      <c r="AD2" s="1007" t="s">
        <v>1228</v>
      </c>
      <c r="AF2" s="998" t="s">
        <v>1224</v>
      </c>
      <c r="AH2" s="997" t="s">
        <v>1229</v>
      </c>
      <c r="AI2" s="997" t="s">
        <v>1229</v>
      </c>
      <c r="AK2" s="997" t="s">
        <v>1230</v>
      </c>
      <c r="AM2" s="997" t="s">
        <v>1231</v>
      </c>
      <c r="AP2" s="1008" t="s">
        <v>1225</v>
      </c>
      <c r="AQ2" s="1009" t="s">
        <v>1225</v>
      </c>
      <c r="AS2" s="996" t="s">
        <v>1232</v>
      </c>
      <c r="AU2" s="1038" t="s">
        <v>1233</v>
      </c>
      <c r="AW2" s="1038" t="s">
        <v>1234</v>
      </c>
      <c r="AX2" s="1038" t="s">
        <v>1234</v>
      </c>
      <c r="AZ2" s="1038" t="s">
        <v>53</v>
      </c>
      <c r="BB2" s="1038" t="s">
        <v>1235</v>
      </c>
      <c r="BC2" s="1038" t="s">
        <v>1236</v>
      </c>
      <c r="BE2" s="1038">
        <v>2000</v>
      </c>
      <c r="BF2" s="1038" t="s">
        <v>1237</v>
      </c>
    </row>
    <row r="3" spans="1:79" ht="11.25" customHeight="1">
      <c r="A3" s="995" t="s">
        <v>1238</v>
      </c>
      <c r="B3" s="996">
        <v>2001</v>
      </c>
      <c r="C3" s="996">
        <v>2023</v>
      </c>
      <c r="D3" s="996" t="s">
        <v>19</v>
      </c>
      <c r="E3" s="997" t="s">
        <v>1239</v>
      </c>
      <c r="F3" s="997" t="s">
        <v>1240</v>
      </c>
      <c r="G3" s="997" t="s">
        <v>1241</v>
      </c>
      <c r="H3" s="998" t="s">
        <v>1242</v>
      </c>
      <c r="I3" s="997" t="s">
        <v>109</v>
      </c>
      <c r="J3" s="997" t="s">
        <v>558</v>
      </c>
      <c r="K3" s="999" t="s">
        <v>1151</v>
      </c>
      <c r="L3" s="1000">
        <f>IFERROR(MATCH(K3,OFFER_METHOD,0),0)</f>
        <v>1</v>
      </c>
      <c r="M3" s="999">
        <v>2</v>
      </c>
      <c r="N3" s="1080" t="s">
        <v>1243</v>
      </c>
      <c r="O3" s="998" t="s">
        <v>1244</v>
      </c>
      <c r="P3" s="1001" t="s">
        <v>37</v>
      </c>
      <c r="Q3" s="1002" t="s">
        <v>448</v>
      </c>
      <c r="R3" s="81" t="s">
        <v>1245</v>
      </c>
      <c r="S3" s="81" t="s">
        <v>1246</v>
      </c>
      <c r="T3" s="1003" t="s">
        <v>1247</v>
      </c>
      <c r="U3" s="1000" t="s">
        <v>1248</v>
      </c>
      <c r="V3" s="1004">
        <v>2</v>
      </c>
      <c r="W3" s="1005"/>
      <c r="X3" s="1005" t="s">
        <v>1249</v>
      </c>
      <c r="Y3" s="996" t="s">
        <v>1226</v>
      </c>
      <c r="Z3" s="1006"/>
      <c r="AA3" s="996" t="s">
        <v>1250</v>
      </c>
      <c r="AB3" s="1007" t="s">
        <v>1250</v>
      </c>
      <c r="AC3" s="996" t="s">
        <v>1251</v>
      </c>
      <c r="AD3" s="1007" t="s">
        <v>1251</v>
      </c>
      <c r="AF3" s="998" t="s">
        <v>1248</v>
      </c>
      <c r="AH3" s="997" t="s">
        <v>1252</v>
      </c>
      <c r="AI3" s="997" t="s">
        <v>1253</v>
      </c>
      <c r="AK3" s="997" t="s">
        <v>1254</v>
      </c>
      <c r="AM3" s="997" t="s">
        <v>1255</v>
      </c>
      <c r="AP3" s="1008" t="s">
        <v>1256</v>
      </c>
      <c r="AQ3" s="1009" t="s">
        <v>1256</v>
      </c>
      <c r="AS3" s="996" t="s">
        <v>1257</v>
      </c>
      <c r="AU3" s="1038" t="s">
        <v>1258</v>
      </c>
      <c r="AW3" s="1038" t="s">
        <v>1259</v>
      </c>
      <c r="AX3" s="1038" t="s">
        <v>1259</v>
      </c>
      <c r="AZ3" s="1038" t="s">
        <v>1260</v>
      </c>
      <c r="BB3" s="1038" t="s">
        <v>1261</v>
      </c>
      <c r="BC3" s="1038" t="s">
        <v>1236</v>
      </c>
      <c r="BE3" s="1038">
        <v>2001</v>
      </c>
      <c r="BF3" s="1038" t="s">
        <v>1262</v>
      </c>
      <c r="BH3" s="988" t="s">
        <v>1263</v>
      </c>
      <c r="BJ3" s="988" t="s">
        <v>1264</v>
      </c>
      <c r="BL3" s="988" t="s">
        <v>1265</v>
      </c>
      <c r="BN3" s="988" t="s">
        <v>1266</v>
      </c>
      <c r="BR3" s="988" t="s">
        <v>1267</v>
      </c>
      <c r="BS3" s="1346"/>
      <c r="BT3" s="991"/>
      <c r="BU3" s="988" t="s">
        <v>1268</v>
      </c>
      <c r="BV3" s="991"/>
      <c r="BW3" s="1608"/>
      <c r="BX3" s="1610" t="s">
        <v>1269</v>
      </c>
      <c r="CA3" s="988" t="s">
        <v>1270</v>
      </c>
    </row>
    <row r="4" spans="1:79" ht="11.25" customHeight="1">
      <c r="A4" s="995" t="s">
        <v>1271</v>
      </c>
      <c r="B4" s="996">
        <v>2002</v>
      </c>
      <c r="C4" s="996">
        <v>2024</v>
      </c>
      <c r="E4" s="997" t="s">
        <v>1272</v>
      </c>
      <c r="F4" s="997" t="s">
        <v>1273</v>
      </c>
      <c r="H4" s="998" t="s">
        <v>1274</v>
      </c>
      <c r="I4" s="997" t="s">
        <v>89</v>
      </c>
      <c r="J4" s="997" t="s">
        <v>1275</v>
      </c>
      <c r="K4" s="999" t="s">
        <v>1276</v>
      </c>
      <c r="L4" s="1000">
        <f>IFERROR(MATCH(K4,OFFER_METHOD,0),0)</f>
        <v>0</v>
      </c>
      <c r="M4" s="999">
        <v>3</v>
      </c>
      <c r="N4" s="1080" t="s">
        <v>1277</v>
      </c>
      <c r="O4" s="997" t="s">
        <v>1278</v>
      </c>
      <c r="Q4" s="1002" t="s">
        <v>1279</v>
      </c>
      <c r="R4" s="81" t="s">
        <v>1280</v>
      </c>
      <c r="S4" s="81" t="s">
        <v>1281</v>
      </c>
      <c r="T4" s="1003" t="s">
        <v>1282</v>
      </c>
      <c r="U4" s="1000" t="s">
        <v>1283</v>
      </c>
      <c r="V4" s="1004">
        <v>3</v>
      </c>
      <c r="W4" s="1005"/>
      <c r="X4" s="1005" t="s">
        <v>1284</v>
      </c>
      <c r="Y4" s="996" t="s">
        <v>1226</v>
      </c>
      <c r="Z4" s="1011"/>
      <c r="AC4" s="996" t="s">
        <v>1285</v>
      </c>
      <c r="AD4" s="1007" t="s">
        <v>1285</v>
      </c>
      <c r="AF4" s="998" t="s">
        <v>1283</v>
      </c>
      <c r="AH4" s="998" t="s">
        <v>1286</v>
      </c>
      <c r="AK4" s="997" t="s">
        <v>1287</v>
      </c>
      <c r="AM4" s="997" t="s">
        <v>1288</v>
      </c>
      <c r="AP4" s="1008" t="s">
        <v>1249</v>
      </c>
      <c r="AQ4" s="1009" t="s">
        <v>1249</v>
      </c>
      <c r="AS4" s="996" t="s">
        <v>1289</v>
      </c>
      <c r="AU4" s="1038" t="s">
        <v>1290</v>
      </c>
      <c r="AW4" s="1038" t="s">
        <v>1291</v>
      </c>
      <c r="AX4" s="1038" t="s">
        <v>1291</v>
      </c>
      <c r="AZ4" s="1038" t="s">
        <v>1292</v>
      </c>
      <c r="BB4" s="1038" t="s">
        <v>1293</v>
      </c>
      <c r="BC4" s="1038" t="s">
        <v>1294</v>
      </c>
      <c r="BE4" s="1038">
        <v>2002</v>
      </c>
      <c r="BF4" s="1038" t="s">
        <v>1295</v>
      </c>
      <c r="BH4" s="989" t="s">
        <v>1296</v>
      </c>
      <c r="BJ4" s="989" t="s">
        <v>1296</v>
      </c>
      <c r="BL4" s="989" t="s">
        <v>1296</v>
      </c>
      <c r="BN4" s="989" t="s">
        <v>1296</v>
      </c>
      <c r="BQ4" s="1350" t="s">
        <v>1297</v>
      </c>
      <c r="BR4" s="1077" t="s">
        <v>1298</v>
      </c>
      <c r="BS4" s="210"/>
      <c r="BT4" s="1350" t="s">
        <v>1299</v>
      </c>
      <c r="BU4" s="1077" t="s">
        <v>1300</v>
      </c>
      <c r="BV4" s="991"/>
      <c r="BW4" s="1615" t="s">
        <v>1301</v>
      </c>
      <c r="BX4" s="1609" t="s">
        <v>1302</v>
      </c>
      <c r="BZ4" s="1350" t="s">
        <v>1303</v>
      </c>
      <c r="CA4" s="1077" t="s">
        <v>1304</v>
      </c>
    </row>
    <row r="5" spans="1:79" ht="11.25" customHeight="1">
      <c r="A5" s="995" t="s">
        <v>1305</v>
      </c>
      <c r="B5" s="996">
        <v>2003</v>
      </c>
      <c r="C5" s="996">
        <v>2025</v>
      </c>
      <c r="E5" s="997" t="s">
        <v>1306</v>
      </c>
      <c r="F5" s="997" t="s">
        <v>1307</v>
      </c>
      <c r="H5" s="998" t="s">
        <v>1308</v>
      </c>
      <c r="I5" s="997" t="s">
        <v>90</v>
      </c>
      <c r="K5" s="999" t="s">
        <v>1309</v>
      </c>
      <c r="L5" s="1000">
        <f>IFERROR(MATCH(K5,OFFER_METHOD,0),0)</f>
        <v>0</v>
      </c>
      <c r="M5" s="999">
        <v>4</v>
      </c>
      <c r="N5" s="1012" t="s">
        <v>1310</v>
      </c>
      <c r="O5" s="997" t="s">
        <v>1311</v>
      </c>
      <c r="Q5" s="1002" t="s">
        <v>1312</v>
      </c>
      <c r="R5" s="81" t="s">
        <v>1313</v>
      </c>
      <c r="T5" s="998" t="s">
        <v>1314</v>
      </c>
      <c r="U5" s="1000" t="s">
        <v>1315</v>
      </c>
      <c r="V5" s="1004">
        <v>4</v>
      </c>
      <c r="W5" s="1005"/>
      <c r="X5" s="1005" t="s">
        <v>170</v>
      </c>
      <c r="Y5" s="996" t="s">
        <v>1316</v>
      </c>
      <c r="Z5" s="1011">
        <v>1</v>
      </c>
      <c r="AF5" s="998" t="s">
        <v>1317</v>
      </c>
      <c r="AH5" s="997" t="s">
        <v>1318</v>
      </c>
      <c r="AK5" s="997" t="s">
        <v>1319</v>
      </c>
      <c r="AM5" s="997" t="s">
        <v>1320</v>
      </c>
      <c r="AP5" s="1008" t="s">
        <v>170</v>
      </c>
      <c r="AQ5" s="1009" t="s">
        <v>170</v>
      </c>
      <c r="AU5" s="1038" t="s">
        <v>1321</v>
      </c>
      <c r="AW5" s="1038" t="s">
        <v>1322</v>
      </c>
      <c r="AX5" s="1038" t="s">
        <v>1322</v>
      </c>
      <c r="AZ5" s="1038" t="s">
        <v>1323</v>
      </c>
      <c r="BB5" s="1038" t="s">
        <v>1324</v>
      </c>
      <c r="BC5" s="1038" t="s">
        <v>1325</v>
      </c>
      <c r="BE5" s="1038">
        <v>2003</v>
      </c>
      <c r="BF5" s="1038" t="s">
        <v>1326</v>
      </c>
      <c r="BH5" s="989" t="s">
        <v>1327</v>
      </c>
      <c r="BJ5" s="989" t="s">
        <v>1327</v>
      </c>
      <c r="BL5" s="989" t="s">
        <v>1327</v>
      </c>
      <c r="BN5" s="989" t="s">
        <v>1328</v>
      </c>
      <c r="BQ5" s="1199">
        <v>4213775</v>
      </c>
      <c r="BR5" s="989" t="s">
        <v>1225</v>
      </c>
      <c r="BS5" s="1347"/>
      <c r="BT5" s="1199">
        <v>64236871</v>
      </c>
      <c r="BU5" s="989" t="s">
        <v>231</v>
      </c>
      <c r="BV5" s="991"/>
      <c r="BW5" s="1613">
        <v>4213767</v>
      </c>
      <c r="BX5" s="1611" t="s">
        <v>1329</v>
      </c>
      <c r="BZ5" s="1199">
        <v>64237509</v>
      </c>
      <c r="CA5" s="1213" t="s">
        <v>1330</v>
      </c>
    </row>
    <row r="6" spans="1:79" ht="11.25" customHeight="1">
      <c r="A6" s="995" t="s">
        <v>1331</v>
      </c>
      <c r="B6" s="996">
        <v>2004</v>
      </c>
      <c r="C6" s="996">
        <v>2026</v>
      </c>
      <c r="E6" s="997" t="s">
        <v>1332</v>
      </c>
      <c r="F6" s="1013"/>
      <c r="H6" s="998" t="s">
        <v>1333</v>
      </c>
      <c r="I6" s="997" t="s">
        <v>110</v>
      </c>
      <c r="J6" s="988" t="s">
        <v>1334</v>
      </c>
      <c r="L6" s="1000">
        <f>SUM(kind_of_control_method_filter)</f>
        <v>1</v>
      </c>
      <c r="N6" s="1012" t="s">
        <v>1335</v>
      </c>
      <c r="O6" s="997" t="s">
        <v>1336</v>
      </c>
      <c r="R6" s="81" t="s">
        <v>1221</v>
      </c>
      <c r="T6" s="998" t="s">
        <v>1337</v>
      </c>
      <c r="U6" s="1000" t="s">
        <v>1317</v>
      </c>
      <c r="V6" s="1004">
        <v>5</v>
      </c>
      <c r="W6" s="1005"/>
      <c r="X6" s="996" t="s">
        <v>176</v>
      </c>
      <c r="Y6" s="996" t="s">
        <v>1338</v>
      </c>
      <c r="Z6" s="1011"/>
      <c r="AA6" s="1014"/>
      <c r="AH6" s="997" t="s">
        <v>1339</v>
      </c>
      <c r="AK6" s="997" t="s">
        <v>1340</v>
      </c>
      <c r="AM6" s="997" t="s">
        <v>1341</v>
      </c>
      <c r="AP6" s="1008" t="s">
        <v>176</v>
      </c>
      <c r="AQ6" s="1009" t="s">
        <v>176</v>
      </c>
      <c r="AU6" s="1038" t="s">
        <v>1342</v>
      </c>
      <c r="AW6" s="1038" t="s">
        <v>1343</v>
      </c>
      <c r="AX6" s="1038" t="s">
        <v>1343</v>
      </c>
      <c r="BB6" s="1038" t="s">
        <v>1344</v>
      </c>
      <c r="BC6" s="1038" t="s">
        <v>1325</v>
      </c>
      <c r="BE6" s="1038">
        <v>2004</v>
      </c>
      <c r="BF6" s="1038" t="s">
        <v>1345</v>
      </c>
      <c r="BH6" s="989" t="s">
        <v>1346</v>
      </c>
      <c r="BJ6" s="989" t="s">
        <v>1347</v>
      </c>
      <c r="BL6" s="989" t="s">
        <v>1347</v>
      </c>
      <c r="BN6" s="989" t="s">
        <v>1348</v>
      </c>
      <c r="BQ6" s="1199">
        <v>4213784</v>
      </c>
      <c r="BR6" s="1213" t="s">
        <v>1256</v>
      </c>
      <c r="BS6" s="1348"/>
      <c r="BT6" s="1199">
        <v>64236872</v>
      </c>
      <c r="BU6" s="989" t="s">
        <v>236</v>
      </c>
      <c r="BV6" s="991"/>
      <c r="BW6" s="1613">
        <v>4213768</v>
      </c>
      <c r="BX6" s="1611" t="s">
        <v>256</v>
      </c>
      <c r="BZ6" s="1199">
        <v>64237510</v>
      </c>
      <c r="CA6" s="989" t="s">
        <v>1349</v>
      </c>
    </row>
    <row r="7" spans="1:79" ht="11.25" customHeight="1">
      <c r="A7" s="995" t="s">
        <v>1350</v>
      </c>
      <c r="B7" s="996">
        <v>2005</v>
      </c>
      <c r="E7" s="997" t="s">
        <v>1351</v>
      </c>
      <c r="F7" s="1013"/>
      <c r="H7" s="998" t="s">
        <v>1352</v>
      </c>
      <c r="I7" s="997" t="s">
        <v>91</v>
      </c>
      <c r="J7" s="997" t="s">
        <v>1353</v>
      </c>
      <c r="N7" s="1016" t="s">
        <v>1354</v>
      </c>
      <c r="O7" s="997" t="s">
        <v>1355</v>
      </c>
      <c r="U7" s="1000" t="s">
        <v>19</v>
      </c>
      <c r="V7" s="305" t="s">
        <v>91</v>
      </c>
      <c r="W7" s="1005"/>
      <c r="X7" s="996" t="s">
        <v>182</v>
      </c>
      <c r="Y7" s="996" t="s">
        <v>1316</v>
      </c>
      <c r="Z7" s="1011"/>
      <c r="AA7" s="1014"/>
      <c r="AH7" s="997" t="s">
        <v>1356</v>
      </c>
      <c r="AK7" s="997" t="s">
        <v>1357</v>
      </c>
      <c r="AM7" s="997" t="s">
        <v>1358</v>
      </c>
      <c r="AP7" s="1008" t="s">
        <v>182</v>
      </c>
      <c r="AQ7" s="1009" t="s">
        <v>182</v>
      </c>
      <c r="AU7" s="1038" t="s">
        <v>1359</v>
      </c>
      <c r="AW7" s="1038" t="s">
        <v>1360</v>
      </c>
      <c r="AX7" s="1038" t="s">
        <v>1360</v>
      </c>
      <c r="AZ7" s="988" t="s">
        <v>1361</v>
      </c>
      <c r="BB7" s="1038" t="s">
        <v>1362</v>
      </c>
      <c r="BC7" s="1038" t="s">
        <v>1325</v>
      </c>
      <c r="BE7" s="1038">
        <v>2005</v>
      </c>
      <c r="BF7" s="1038" t="s">
        <v>1363</v>
      </c>
      <c r="BH7" s="989" t="s">
        <v>1364</v>
      </c>
      <c r="BJ7" s="989" t="s">
        <v>1346</v>
      </c>
      <c r="BL7" s="989" t="s">
        <v>1346</v>
      </c>
      <c r="BN7" s="989" t="s">
        <v>1365</v>
      </c>
      <c r="BQ7" s="1199">
        <v>4213781</v>
      </c>
      <c r="BR7" s="989" t="s">
        <v>1249</v>
      </c>
      <c r="BS7" s="1347"/>
      <c r="BT7" s="1199">
        <v>64236873</v>
      </c>
      <c r="BU7" s="989" t="s">
        <v>241</v>
      </c>
      <c r="BV7" s="991"/>
      <c r="BW7" s="1613">
        <v>4213769</v>
      </c>
      <c r="BX7" s="1611" t="s">
        <v>1366</v>
      </c>
      <c r="BZ7" s="1199">
        <v>64237511</v>
      </c>
      <c r="CA7" s="989" t="s">
        <v>271</v>
      </c>
    </row>
    <row r="8" spans="1:79" ht="11.25" customHeight="1">
      <c r="A8" s="995" t="s">
        <v>1367</v>
      </c>
      <c r="B8" s="996">
        <v>2006</v>
      </c>
      <c r="E8" s="997" t="s">
        <v>1368</v>
      </c>
      <c r="F8" s="1013"/>
      <c r="H8" s="998" t="s">
        <v>1369</v>
      </c>
      <c r="I8" s="997" t="s">
        <v>92</v>
      </c>
      <c r="J8" s="997" t="s">
        <v>1370</v>
      </c>
      <c r="N8" s="1081" t="s">
        <v>1371</v>
      </c>
      <c r="O8" s="997" t="s">
        <v>1372</v>
      </c>
      <c r="V8" s="305" t="s">
        <v>92</v>
      </c>
      <c r="W8" s="1005"/>
      <c r="X8" s="996" t="s">
        <v>188</v>
      </c>
      <c r="Y8" s="996" t="s">
        <v>1316</v>
      </c>
      <c r="Z8" s="1011"/>
      <c r="AA8" s="1014"/>
      <c r="AK8" s="997" t="s">
        <v>1373</v>
      </c>
      <c r="AP8" s="1008" t="s">
        <v>188</v>
      </c>
      <c r="AQ8" s="1009" t="s">
        <v>188</v>
      </c>
      <c r="AU8" s="1038" t="s">
        <v>1374</v>
      </c>
      <c r="AW8" s="1038" t="s">
        <v>1375</v>
      </c>
      <c r="AX8" s="1038" t="s">
        <v>1375</v>
      </c>
      <c r="AZ8" s="1038" t="s">
        <v>1376</v>
      </c>
      <c r="BB8" s="1038" t="s">
        <v>1377</v>
      </c>
      <c r="BC8" s="1038" t="s">
        <v>1325</v>
      </c>
      <c r="BE8" s="1038">
        <v>2006</v>
      </c>
      <c r="BF8" s="1038" t="s">
        <v>1378</v>
      </c>
      <c r="BH8" s="989" t="s">
        <v>1379</v>
      </c>
      <c r="BJ8" s="989" t="s">
        <v>1380</v>
      </c>
      <c r="BL8" s="989" t="s">
        <v>1380</v>
      </c>
      <c r="BN8" s="989" t="s">
        <v>1381</v>
      </c>
      <c r="BQ8" s="1199">
        <v>4213776</v>
      </c>
      <c r="BR8" s="989" t="s">
        <v>170</v>
      </c>
      <c r="BS8" s="1347"/>
      <c r="BT8" s="1199">
        <v>64236874</v>
      </c>
      <c r="BU8" s="1213" t="s">
        <v>1382</v>
      </c>
      <c r="BV8" s="991"/>
      <c r="BW8" s="1613">
        <v>4213770</v>
      </c>
      <c r="BX8" s="1614" t="s">
        <v>1383</v>
      </c>
      <c r="BZ8" s="1199">
        <v>64237512</v>
      </c>
      <c r="CA8" s="989" t="s">
        <v>266</v>
      </c>
    </row>
    <row r="9" spans="1:79" ht="11.25" customHeight="1">
      <c r="A9" s="995" t="s">
        <v>1384</v>
      </c>
      <c r="B9" s="996">
        <v>2007</v>
      </c>
      <c r="E9" s="997" t="s">
        <v>1385</v>
      </c>
      <c r="F9" s="1013"/>
      <c r="G9" s="988" t="s">
        <v>1386</v>
      </c>
      <c r="H9" s="988" t="s">
        <v>1387</v>
      </c>
      <c r="I9" s="997" t="s">
        <v>111</v>
      </c>
      <c r="O9" s="997" t="s">
        <v>1388</v>
      </c>
      <c r="V9" s="305" t="s">
        <v>111</v>
      </c>
      <c r="W9" s="1005"/>
      <c r="X9" s="996" t="s">
        <v>194</v>
      </c>
      <c r="Y9" s="996" t="s">
        <v>1226</v>
      </c>
      <c r="Z9" s="1011">
        <v>1</v>
      </c>
      <c r="AA9" s="1014"/>
      <c r="AK9" s="997" t="s">
        <v>1389</v>
      </c>
      <c r="AP9" s="1008" t="s">
        <v>1390</v>
      </c>
      <c r="AQ9" s="1009" t="s">
        <v>1390</v>
      </c>
      <c r="AW9" s="1038" t="s">
        <v>1391</v>
      </c>
      <c r="AX9" s="1038" t="s">
        <v>1391</v>
      </c>
      <c r="AZ9" s="1038" t="s">
        <v>1392</v>
      </c>
      <c r="BB9" s="1038" t="s">
        <v>1393</v>
      </c>
      <c r="BC9" s="1038" t="s">
        <v>1325</v>
      </c>
      <c r="BE9" s="1038">
        <v>2007</v>
      </c>
      <c r="BF9" s="1038" t="s">
        <v>1394</v>
      </c>
      <c r="BH9" s="989" t="s">
        <v>1395</v>
      </c>
      <c r="BJ9" s="989" t="s">
        <v>1396</v>
      </c>
      <c r="BL9" s="989" t="s">
        <v>1396</v>
      </c>
      <c r="BN9" s="989" t="s">
        <v>1397</v>
      </c>
      <c r="BQ9" s="1199">
        <v>4213777</v>
      </c>
      <c r="BR9" s="989" t="s">
        <v>176</v>
      </c>
      <c r="BS9" s="1347"/>
      <c r="BT9" s="1199">
        <v>64236875</v>
      </c>
      <c r="BU9" s="989" t="s">
        <v>246</v>
      </c>
      <c r="BV9" s="991"/>
      <c r="BW9" s="1608"/>
      <c r="BX9" s="1608"/>
    </row>
    <row r="10" spans="1:79" ht="11.25" customHeight="1">
      <c r="A10" s="995" t="s">
        <v>1398</v>
      </c>
      <c r="B10" s="996">
        <v>2008</v>
      </c>
      <c r="E10" s="997" t="s">
        <v>1399</v>
      </c>
      <c r="F10" s="1013"/>
      <c r="G10" s="997" t="s">
        <v>1400</v>
      </c>
      <c r="H10" s="997" t="s">
        <v>1401</v>
      </c>
      <c r="I10" s="997" t="s">
        <v>147</v>
      </c>
      <c r="J10" s="988" t="s">
        <v>1402</v>
      </c>
      <c r="K10" s="988" t="s">
        <v>1403</v>
      </c>
      <c r="O10" s="997" t="s">
        <v>1404</v>
      </c>
      <c r="V10" s="306" t="s">
        <v>147</v>
      </c>
      <c r="W10" s="1017"/>
      <c r="X10" s="1017" t="s">
        <v>1405</v>
      </c>
      <c r="Y10" s="1018" t="s">
        <v>1406</v>
      </c>
      <c r="Z10" s="1011"/>
      <c r="AP10" s="1008" t="s">
        <v>1405</v>
      </c>
      <c r="AQ10" s="1009" t="s">
        <v>1405</v>
      </c>
      <c r="AW10" s="1038" t="s">
        <v>1407</v>
      </c>
      <c r="AX10" s="1038" t="s">
        <v>1407</v>
      </c>
      <c r="AZ10" s="1038" t="s">
        <v>1408</v>
      </c>
      <c r="BB10" s="1038" t="s">
        <v>1409</v>
      </c>
      <c r="BC10" s="1038" t="s">
        <v>1325</v>
      </c>
      <c r="BE10" s="1038">
        <v>2008</v>
      </c>
      <c r="BF10" s="1038" t="s">
        <v>1410</v>
      </c>
      <c r="BH10" s="989" t="s">
        <v>1411</v>
      </c>
      <c r="BJ10" s="989" t="s">
        <v>1412</v>
      </c>
      <c r="BL10" s="989" t="s">
        <v>1412</v>
      </c>
      <c r="BN10" s="989" t="s">
        <v>1413</v>
      </c>
      <c r="BQ10" s="1199">
        <v>4213778</v>
      </c>
      <c r="BR10" s="989" t="s">
        <v>182</v>
      </c>
      <c r="BS10" s="1347"/>
      <c r="BT10" s="1199">
        <v>64236876</v>
      </c>
      <c r="BU10" s="989" t="s">
        <v>226</v>
      </c>
      <c r="BV10" s="991"/>
      <c r="BW10" s="1608"/>
      <c r="BX10" s="1608"/>
    </row>
    <row r="11" spans="1:79" ht="11.25" customHeight="1">
      <c r="A11" s="995" t="s">
        <v>1414</v>
      </c>
      <c r="B11" s="996">
        <v>2009</v>
      </c>
      <c r="E11" s="997" t="s">
        <v>1415</v>
      </c>
      <c r="F11" s="1013"/>
      <c r="G11" s="997" t="s">
        <v>1416</v>
      </c>
      <c r="H11" s="997" t="s">
        <v>1417</v>
      </c>
      <c r="I11" s="997" t="s">
        <v>148</v>
      </c>
      <c r="J11" s="998" t="s">
        <v>1418</v>
      </c>
      <c r="K11" s="1019" t="s">
        <v>1419</v>
      </c>
      <c r="O11" s="998" t="s">
        <v>1420</v>
      </c>
      <c r="V11" s="305" t="s">
        <v>148</v>
      </c>
      <c r="W11" s="211"/>
      <c r="X11" s="1005" t="s">
        <v>1390</v>
      </c>
      <c r="Y11" s="996" t="s">
        <v>1421</v>
      </c>
      <c r="Z11" s="1011"/>
      <c r="AP11" s="1008" t="s">
        <v>194</v>
      </c>
      <c r="AQ11" s="1010" t="s">
        <v>194</v>
      </c>
      <c r="AW11" s="1038" t="s">
        <v>1422</v>
      </c>
      <c r="AX11" s="1038" t="s">
        <v>1422</v>
      </c>
      <c r="AZ11" s="1038" t="s">
        <v>1423</v>
      </c>
      <c r="BB11" s="1038" t="s">
        <v>1424</v>
      </c>
      <c r="BC11" s="1038" t="s">
        <v>1325</v>
      </c>
      <c r="BE11" s="1038">
        <v>2009</v>
      </c>
      <c r="BF11" s="1038" t="s">
        <v>1425</v>
      </c>
      <c r="BH11" s="989" t="s">
        <v>1426</v>
      </c>
      <c r="BJ11" s="989" t="s">
        <v>1395</v>
      </c>
      <c r="BL11" s="989" t="s">
        <v>1395</v>
      </c>
      <c r="BN11" s="989" t="s">
        <v>1427</v>
      </c>
      <c r="BQ11" s="1199">
        <v>4213780</v>
      </c>
      <c r="BR11" s="989" t="s">
        <v>188</v>
      </c>
      <c r="BS11" s="1347"/>
      <c r="BW11" s="1608"/>
      <c r="BX11" s="1608"/>
    </row>
    <row r="12" spans="1:79" ht="11.25" customHeight="1">
      <c r="A12" s="995" t="s">
        <v>1428</v>
      </c>
      <c r="B12" s="996">
        <v>2010</v>
      </c>
      <c r="E12" s="997" t="s">
        <v>1429</v>
      </c>
      <c r="F12" s="1013"/>
      <c r="G12" s="997" t="s">
        <v>1417</v>
      </c>
      <c r="I12" s="997" t="s">
        <v>149</v>
      </c>
      <c r="J12" s="998" t="s">
        <v>1430</v>
      </c>
      <c r="K12" s="1019" t="s">
        <v>1431</v>
      </c>
      <c r="O12" s="998" t="s">
        <v>1221</v>
      </c>
      <c r="V12" s="305" t="s">
        <v>149</v>
      </c>
      <c r="W12" s="1010"/>
      <c r="X12" s="1005" t="s">
        <v>1432</v>
      </c>
      <c r="Y12" s="996" t="s">
        <v>1226</v>
      </c>
      <c r="AP12" s="1008"/>
      <c r="AW12" s="1038" t="s">
        <v>148</v>
      </c>
      <c r="AX12" s="1038" t="s">
        <v>148</v>
      </c>
      <c r="AZ12" s="1038" t="s">
        <v>1433</v>
      </c>
      <c r="BB12" s="1038" t="s">
        <v>1434</v>
      </c>
      <c r="BC12" s="1038" t="s">
        <v>1325</v>
      </c>
      <c r="BE12" s="1038">
        <v>2010</v>
      </c>
      <c r="BF12" s="1038" t="s">
        <v>1435</v>
      </c>
      <c r="BH12" s="989" t="s">
        <v>1436</v>
      </c>
      <c r="BJ12" s="989" t="s">
        <v>1437</v>
      </c>
      <c r="BL12" s="989" t="s">
        <v>1437</v>
      </c>
      <c r="BN12" s="989" t="s">
        <v>1438</v>
      </c>
      <c r="BQ12" s="1199">
        <v>4213779</v>
      </c>
      <c r="BR12" s="989" t="s">
        <v>1390</v>
      </c>
      <c r="BS12" s="1347"/>
      <c r="BT12" s="991"/>
      <c r="BU12" s="991"/>
      <c r="BV12" s="991"/>
      <c r="BW12" s="1608"/>
      <c r="BX12" s="1608"/>
    </row>
    <row r="13" spans="1:79" ht="11.25" customHeight="1">
      <c r="A13" s="995" t="s">
        <v>1439</v>
      </c>
      <c r="B13" s="996">
        <v>2011</v>
      </c>
      <c r="E13" s="997" t="s">
        <v>1440</v>
      </c>
      <c r="F13" s="1013"/>
      <c r="I13" s="997" t="s">
        <v>98</v>
      </c>
      <c r="K13" s="1019" t="s">
        <v>1389</v>
      </c>
      <c r="V13" s="305" t="s">
        <v>98</v>
      </c>
      <c r="W13" s="1010"/>
      <c r="X13" s="1010"/>
      <c r="Y13" s="1010"/>
      <c r="AW13" s="1038" t="s">
        <v>149</v>
      </c>
      <c r="AX13" s="1038" t="s">
        <v>149</v>
      </c>
      <c r="BB13" s="1038" t="s">
        <v>1441</v>
      </c>
      <c r="BC13" s="1038" t="s">
        <v>1442</v>
      </c>
      <c r="BE13" s="1038">
        <v>2011</v>
      </c>
      <c r="BF13" s="1038" t="s">
        <v>1443</v>
      </c>
      <c r="BH13" s="989" t="s">
        <v>1444</v>
      </c>
      <c r="BJ13" s="989" t="s">
        <v>1426</v>
      </c>
      <c r="BL13" s="989" t="s">
        <v>1426</v>
      </c>
      <c r="BN13" s="989" t="s">
        <v>1445</v>
      </c>
      <c r="BQ13" s="1199">
        <v>4213783</v>
      </c>
      <c r="BR13" s="989" t="s">
        <v>1405</v>
      </c>
      <c r="BS13" s="1347"/>
      <c r="BT13" s="991"/>
      <c r="BU13" s="991"/>
      <c r="BV13" s="991"/>
      <c r="BW13" s="1612"/>
      <c r="BX13" s="1608"/>
    </row>
    <row r="14" spans="1:79" ht="11.25" customHeight="1">
      <c r="A14" s="995" t="s">
        <v>1446</v>
      </c>
      <c r="B14" s="996">
        <v>2012</v>
      </c>
      <c r="I14" s="997" t="s">
        <v>150</v>
      </c>
      <c r="J14" s="988" t="s">
        <v>1447</v>
      </c>
      <c r="N14" s="988" t="s">
        <v>1448</v>
      </c>
      <c r="V14" s="1004">
        <v>13</v>
      </c>
      <c r="W14" s="1005"/>
      <c r="X14" s="1005" t="s">
        <v>1256</v>
      </c>
      <c r="Y14" s="996" t="s">
        <v>1226</v>
      </c>
      <c r="AW14" s="1038" t="s">
        <v>98</v>
      </c>
      <c r="AX14" s="1038" t="s">
        <v>98</v>
      </c>
      <c r="AZ14" s="988" t="s">
        <v>1449</v>
      </c>
      <c r="BB14" s="1038" t="s">
        <v>1450</v>
      </c>
      <c r="BC14" s="1038" t="s">
        <v>1442</v>
      </c>
      <c r="BE14" s="1038">
        <v>2012</v>
      </c>
      <c r="BH14" s="989" t="s">
        <v>1365</v>
      </c>
      <c r="BJ14" s="1135" t="s">
        <v>1451</v>
      </c>
      <c r="BL14" s="1135" t="s">
        <v>1451</v>
      </c>
      <c r="BN14" s="989" t="s">
        <v>1452</v>
      </c>
      <c r="BQ14" s="1199">
        <v>4213782</v>
      </c>
      <c r="BR14" s="989" t="s">
        <v>194</v>
      </c>
      <c r="BS14" s="1347"/>
      <c r="BT14" s="991"/>
      <c r="BU14" s="991"/>
      <c r="BV14" s="991"/>
      <c r="BW14" s="1612"/>
      <c r="BX14" s="1608"/>
    </row>
    <row r="15" spans="1:79" ht="19.5" customHeight="1">
      <c r="A15" s="995" t="s">
        <v>1453</v>
      </c>
      <c r="B15" s="996">
        <v>2013</v>
      </c>
      <c r="E15" s="1616" t="s">
        <v>1454</v>
      </c>
      <c r="G15" s="988" t="s">
        <v>1455</v>
      </c>
      <c r="H15" s="988" t="s">
        <v>1456</v>
      </c>
      <c r="I15" s="999" t="s">
        <v>151</v>
      </c>
      <c r="J15" s="1010" t="s">
        <v>585</v>
      </c>
      <c r="N15" s="1076" t="s">
        <v>1457</v>
      </c>
      <c r="X15" s="1008"/>
      <c r="AW15" s="1038" t="s">
        <v>150</v>
      </c>
      <c r="AX15" s="1038" t="s">
        <v>150</v>
      </c>
      <c r="AZ15" s="1038" t="s">
        <v>1376</v>
      </c>
      <c r="BB15" s="1038" t="s">
        <v>1458</v>
      </c>
      <c r="BC15" s="1038" t="s">
        <v>1442</v>
      </c>
      <c r="BE15" s="1038">
        <v>2013</v>
      </c>
      <c r="BH15" s="989" t="s">
        <v>1381</v>
      </c>
      <c r="BJ15" s="1135" t="s">
        <v>1459</v>
      </c>
      <c r="BL15" s="1135" t="s">
        <v>1459</v>
      </c>
      <c r="BN15" s="989" t="s">
        <v>1460</v>
      </c>
      <c r="BR15" s="991"/>
      <c r="BS15" s="1349"/>
      <c r="BT15" s="991"/>
      <c r="BU15" s="991"/>
      <c r="BV15" s="991"/>
      <c r="BW15" s="1612"/>
      <c r="BX15" s="1608"/>
    </row>
    <row r="16" spans="1:79" ht="21" customHeight="1">
      <c r="A16" s="1785" t="s">
        <v>1461</v>
      </c>
      <c r="B16" s="996">
        <v>2014</v>
      </c>
      <c r="E16" s="1617" t="s">
        <v>1462</v>
      </c>
      <c r="G16" s="997" t="s">
        <v>1463</v>
      </c>
      <c r="H16" s="997" t="s">
        <v>1464</v>
      </c>
      <c r="I16" s="999" t="s">
        <v>1465</v>
      </c>
      <c r="J16" s="1010" t="s">
        <v>558</v>
      </c>
      <c r="N16" s="1076" t="s">
        <v>1466</v>
      </c>
      <c r="AW16" s="1038" t="s">
        <v>151</v>
      </c>
      <c r="AX16" s="1038" t="s">
        <v>151</v>
      </c>
      <c r="AZ16" s="1038" t="s">
        <v>1392</v>
      </c>
      <c r="BB16" s="1038" t="s">
        <v>1467</v>
      </c>
      <c r="BC16" s="1038" t="s">
        <v>1442</v>
      </c>
      <c r="BE16" s="1038">
        <v>2014</v>
      </c>
      <c r="BH16" s="989" t="s">
        <v>1397</v>
      </c>
      <c r="BJ16" s="1135" t="s">
        <v>1468</v>
      </c>
      <c r="BL16" s="1135" t="s">
        <v>1468</v>
      </c>
      <c r="BN16" s="989" t="s">
        <v>1469</v>
      </c>
      <c r="BR16" s="991"/>
      <c r="BS16" s="1349"/>
      <c r="BT16" s="991"/>
      <c r="BU16" s="991"/>
      <c r="BV16" s="991"/>
      <c r="BW16" s="1612"/>
      <c r="BX16" s="1608"/>
    </row>
    <row r="17" spans="1:82" ht="21" customHeight="1">
      <c r="A17" s="995" t="s">
        <v>1470</v>
      </c>
      <c r="B17" s="996">
        <v>2015</v>
      </c>
      <c r="G17" s="997" t="s">
        <v>1417</v>
      </c>
      <c r="H17" s="997" t="s">
        <v>1417</v>
      </c>
      <c r="I17" s="997" t="s">
        <v>1471</v>
      </c>
      <c r="N17" s="1076" t="s">
        <v>1472</v>
      </c>
      <c r="X17" s="1008"/>
      <c r="AW17" s="1038" t="s">
        <v>1465</v>
      </c>
      <c r="AX17" s="1038" t="s">
        <v>1465</v>
      </c>
      <c r="AZ17" s="1038" t="s">
        <v>1473</v>
      </c>
      <c r="BB17" s="1038" t="s">
        <v>1474</v>
      </c>
      <c r="BC17" s="1038" t="s">
        <v>1325</v>
      </c>
      <c r="BE17" s="1038">
        <v>2015</v>
      </c>
      <c r="BH17" s="989" t="s">
        <v>1413</v>
      </c>
      <c r="BJ17" s="1135" t="s">
        <v>1475</v>
      </c>
      <c r="BL17" s="1135" t="s">
        <v>1475</v>
      </c>
      <c r="BN17" s="989" t="s">
        <v>1476</v>
      </c>
      <c r="BR17" s="988" t="s">
        <v>1267</v>
      </c>
      <c r="BS17" s="1346"/>
      <c r="BU17" s="988" t="s">
        <v>1477</v>
      </c>
      <c r="BV17" s="991"/>
      <c r="BW17" s="1608"/>
      <c r="BX17" s="1610" t="s">
        <v>1478</v>
      </c>
      <c r="CA17" s="988" t="s">
        <v>1479</v>
      </c>
      <c r="CD17" s="988" t="s">
        <v>1480</v>
      </c>
    </row>
    <row r="18" spans="1:82" ht="21" customHeight="1">
      <c r="A18" s="995" t="s">
        <v>1481</v>
      </c>
      <c r="B18" s="996">
        <v>2016</v>
      </c>
      <c r="E18" s="1917" t="s">
        <v>1482</v>
      </c>
      <c r="I18" s="997" t="s">
        <v>1483</v>
      </c>
      <c r="N18" s="1076" t="s">
        <v>1484</v>
      </c>
      <c r="X18" s="1008"/>
      <c r="AW18" s="1038" t="s">
        <v>1471</v>
      </c>
      <c r="AX18" s="1038" t="s">
        <v>1471</v>
      </c>
      <c r="BB18" s="1038" t="s">
        <v>1485</v>
      </c>
      <c r="BC18" s="1038" t="s">
        <v>1325</v>
      </c>
      <c r="BE18" s="1038">
        <v>2016</v>
      </c>
      <c r="BH18" s="989" t="s">
        <v>1427</v>
      </c>
      <c r="BJ18" s="1135" t="s">
        <v>1486</v>
      </c>
      <c r="BL18" s="1135" t="s">
        <v>1486</v>
      </c>
      <c r="BN18" s="989" t="s">
        <v>1487</v>
      </c>
      <c r="BQ18" s="1350" t="s">
        <v>1297</v>
      </c>
      <c r="BR18" s="1077" t="s">
        <v>1298</v>
      </c>
      <c r="BS18" s="210"/>
      <c r="BT18" s="1350" t="s">
        <v>1488</v>
      </c>
      <c r="BU18" s="1077" t="s">
        <v>1489</v>
      </c>
      <c r="BV18" s="991"/>
      <c r="BW18" s="1615" t="s">
        <v>1490</v>
      </c>
      <c r="BX18" s="1609" t="s">
        <v>1491</v>
      </c>
      <c r="BZ18" s="1350" t="s">
        <v>1492</v>
      </c>
      <c r="CA18" s="1077" t="s">
        <v>1493</v>
      </c>
      <c r="CC18" s="1350" t="s">
        <v>1494</v>
      </c>
      <c r="CD18" s="1077" t="s">
        <v>1495</v>
      </c>
    </row>
    <row r="19" spans="1:82" ht="21" customHeight="1">
      <c r="A19" s="1785" t="s">
        <v>1496</v>
      </c>
      <c r="B19" s="996">
        <v>2017</v>
      </c>
      <c r="E19" s="995" t="s">
        <v>164</v>
      </c>
      <c r="I19" s="997" t="s">
        <v>1497</v>
      </c>
      <c r="N19" s="1076" t="s">
        <v>1498</v>
      </c>
      <c r="X19" s="1008"/>
      <c r="AW19" s="1038" t="s">
        <v>1483</v>
      </c>
      <c r="AX19" s="1038" t="s">
        <v>1483</v>
      </c>
      <c r="AZ19" s="988" t="s">
        <v>1499</v>
      </c>
      <c r="BB19" s="1038" t="s">
        <v>1500</v>
      </c>
      <c r="BC19" s="1038" t="s">
        <v>1325</v>
      </c>
      <c r="BE19" s="1038">
        <v>2017</v>
      </c>
      <c r="BH19" s="989" t="s">
        <v>1501</v>
      </c>
      <c r="BJ19" s="1135" t="s">
        <v>1502</v>
      </c>
      <c r="BL19" s="1135" t="s">
        <v>1502</v>
      </c>
      <c r="BQ19" s="1199">
        <v>4190064</v>
      </c>
      <c r="BR19" s="989" t="s">
        <v>1503</v>
      </c>
      <c r="BS19" s="1347"/>
      <c r="BT19" s="1199">
        <v>4189671</v>
      </c>
      <c r="BU19" s="989" t="s">
        <v>1504</v>
      </c>
      <c r="BV19" s="991"/>
      <c r="BW19" s="1613">
        <v>4189706</v>
      </c>
      <c r="BX19" s="1611" t="s">
        <v>1505</v>
      </c>
      <c r="BZ19" s="1199">
        <v>4189714</v>
      </c>
      <c r="CA19" s="989" t="s">
        <v>1506</v>
      </c>
      <c r="CC19" s="1199">
        <v>4189708</v>
      </c>
      <c r="CD19" s="989" t="s">
        <v>1507</v>
      </c>
    </row>
    <row r="20" spans="1:82" ht="21" customHeight="1">
      <c r="A20" s="995" t="s">
        <v>1508</v>
      </c>
      <c r="B20" s="996">
        <v>2018</v>
      </c>
      <c r="E20" s="995" t="s">
        <v>1256</v>
      </c>
      <c r="I20" s="997" t="s">
        <v>1509</v>
      </c>
      <c r="N20" s="1076" t="s">
        <v>1510</v>
      </c>
      <c r="AW20" s="1038" t="s">
        <v>1497</v>
      </c>
      <c r="AX20" s="1038" t="s">
        <v>1497</v>
      </c>
      <c r="AZ20" s="1038" t="s">
        <v>1511</v>
      </c>
      <c r="BB20" s="1038" t="s">
        <v>1512</v>
      </c>
      <c r="BC20" s="1038" t="s">
        <v>1442</v>
      </c>
      <c r="BE20" s="1038">
        <v>2018</v>
      </c>
      <c r="BH20" s="989" t="s">
        <v>1438</v>
      </c>
      <c r="BJ20" s="989" t="s">
        <v>1365</v>
      </c>
      <c r="BL20" s="989" t="s">
        <v>1365</v>
      </c>
      <c r="BQ20" s="1199">
        <v>4190065</v>
      </c>
      <c r="BR20" s="989" t="s">
        <v>1513</v>
      </c>
      <c r="BS20" s="1347"/>
      <c r="BT20" s="1199">
        <v>4189672</v>
      </c>
      <c r="BU20" s="989" t="s">
        <v>1514</v>
      </c>
      <c r="BV20" s="991"/>
      <c r="BW20" s="1613">
        <v>4189705</v>
      </c>
      <c r="BX20" s="1611" t="s">
        <v>1515</v>
      </c>
      <c r="BZ20" s="1199">
        <v>4189713</v>
      </c>
      <c r="CA20" s="989" t="s">
        <v>1515</v>
      </c>
      <c r="CC20" s="1199">
        <v>4189709</v>
      </c>
      <c r="CD20" s="989" t="s">
        <v>1516</v>
      </c>
    </row>
    <row r="21" spans="1:82" ht="21" customHeight="1">
      <c r="A21" s="995" t="s">
        <v>1517</v>
      </c>
      <c r="B21" s="996">
        <v>2019</v>
      </c>
      <c r="I21" s="997" t="s">
        <v>1518</v>
      </c>
      <c r="N21" s="1076" t="s">
        <v>1519</v>
      </c>
      <c r="AW21" s="1038" t="s">
        <v>1509</v>
      </c>
      <c r="AX21" s="1038" t="s">
        <v>1509</v>
      </c>
      <c r="AZ21" s="1038" t="s">
        <v>1520</v>
      </c>
      <c r="BB21" s="1038" t="s">
        <v>1521</v>
      </c>
      <c r="BC21" s="1038" t="s">
        <v>1325</v>
      </c>
      <c r="BE21" s="1038">
        <v>2019</v>
      </c>
      <c r="BH21" s="989" t="s">
        <v>1445</v>
      </c>
      <c r="BJ21" s="989" t="s">
        <v>1381</v>
      </c>
      <c r="BL21" s="989" t="s">
        <v>1381</v>
      </c>
      <c r="BQ21" s="1199">
        <v>4190066</v>
      </c>
      <c r="BR21" s="989" t="s">
        <v>1522</v>
      </c>
      <c r="BS21" s="1347"/>
      <c r="BT21" s="1199">
        <v>4189673</v>
      </c>
      <c r="BU21" s="989" t="s">
        <v>1523</v>
      </c>
      <c r="BV21" s="991"/>
      <c r="BW21" s="1613">
        <v>4189707</v>
      </c>
      <c r="BX21" s="1611" t="s">
        <v>1524</v>
      </c>
      <c r="BZ21" s="1199">
        <v>4189712</v>
      </c>
      <c r="CA21" s="989" t="s">
        <v>1525</v>
      </c>
      <c r="CC21" s="1199">
        <v>4189710</v>
      </c>
      <c r="CD21" s="989" t="s">
        <v>1526</v>
      </c>
    </row>
    <row r="22" spans="1:82" ht="21" customHeight="1">
      <c r="A22" s="995" t="s">
        <v>1527</v>
      </c>
      <c r="B22" s="996">
        <v>2020</v>
      </c>
      <c r="N22" s="1076" t="s">
        <v>1528</v>
      </c>
      <c r="AW22" s="1038" t="s">
        <v>1518</v>
      </c>
      <c r="AX22" s="1038" t="s">
        <v>1518</v>
      </c>
      <c r="AZ22" s="1038" t="s">
        <v>1529</v>
      </c>
      <c r="BB22" s="1038" t="s">
        <v>1530</v>
      </c>
      <c r="BC22" s="1038" t="s">
        <v>1325</v>
      </c>
      <c r="BE22" s="1038">
        <v>2020</v>
      </c>
      <c r="BH22" s="989" t="s">
        <v>1452</v>
      </c>
      <c r="BJ22" s="989" t="s">
        <v>1397</v>
      </c>
      <c r="BL22" s="989" t="s">
        <v>1397</v>
      </c>
      <c r="BQ22" s="1199">
        <v>4190067</v>
      </c>
      <c r="BR22" s="989" t="s">
        <v>1531</v>
      </c>
      <c r="BS22" s="1347"/>
      <c r="BT22" s="1199">
        <v>4189674</v>
      </c>
      <c r="BU22" s="989" t="s">
        <v>1532</v>
      </c>
      <c r="BV22" s="991"/>
      <c r="BW22" s="991"/>
      <c r="CC22" s="1199">
        <v>4189711</v>
      </c>
      <c r="CD22" s="989" t="s">
        <v>295</v>
      </c>
    </row>
    <row r="23" spans="1:82" ht="21" customHeight="1">
      <c r="A23" s="995" t="s">
        <v>1533</v>
      </c>
      <c r="B23" s="996">
        <v>2021</v>
      </c>
      <c r="AW23" s="1038" t="s">
        <v>1534</v>
      </c>
      <c r="AX23" s="1038" t="s">
        <v>1534</v>
      </c>
      <c r="AZ23" s="1038" t="s">
        <v>1535</v>
      </c>
      <c r="BB23" s="1038" t="s">
        <v>1536</v>
      </c>
      <c r="BC23" s="1038" t="s">
        <v>1236</v>
      </c>
      <c r="BE23" s="1038">
        <v>2021</v>
      </c>
      <c r="BH23" s="989" t="s">
        <v>1460</v>
      </c>
      <c r="BJ23" s="989" t="s">
        <v>1413</v>
      </c>
      <c r="BL23" s="989" t="s">
        <v>1413</v>
      </c>
      <c r="BQ23" s="1199">
        <v>4190068</v>
      </c>
      <c r="BR23" s="989" t="s">
        <v>1537</v>
      </c>
      <c r="BS23" s="1347"/>
      <c r="BT23" s="1199">
        <v>4189675</v>
      </c>
      <c r="BU23" s="989" t="s">
        <v>1538</v>
      </c>
      <c r="BV23" s="991"/>
      <c r="BW23" s="991"/>
      <c r="CC23" s="1199">
        <v>5110778</v>
      </c>
      <c r="CD23" s="989" t="s">
        <v>1539</v>
      </c>
    </row>
    <row r="24" spans="1:82" ht="21" customHeight="1">
      <c r="A24" s="995" t="s">
        <v>1540</v>
      </c>
      <c r="B24" s="996">
        <v>2022</v>
      </c>
      <c r="AW24" s="1038" t="s">
        <v>1541</v>
      </c>
      <c r="AX24" s="1038" t="s">
        <v>1541</v>
      </c>
      <c r="AZ24" s="1038" t="s">
        <v>1542</v>
      </c>
      <c r="BB24" s="1038" t="s">
        <v>1543</v>
      </c>
      <c r="BC24" s="1038" t="s">
        <v>1544</v>
      </c>
      <c r="BE24" s="1038">
        <v>2022</v>
      </c>
      <c r="BH24" s="989" t="s">
        <v>1469</v>
      </c>
      <c r="BJ24" s="989" t="s">
        <v>1427</v>
      </c>
      <c r="BL24" s="989" t="s">
        <v>1427</v>
      </c>
      <c r="BQ24" s="1199">
        <v>4190069</v>
      </c>
      <c r="BR24" s="989" t="s">
        <v>1545</v>
      </c>
      <c r="BS24" s="1347"/>
      <c r="BT24" s="1199">
        <v>4189676</v>
      </c>
      <c r="BU24" s="989" t="s">
        <v>1546</v>
      </c>
      <c r="BV24" s="991"/>
      <c r="BW24" s="991"/>
      <c r="CC24" s="1199">
        <v>25575374</v>
      </c>
      <c r="CD24" s="989" t="s">
        <v>1547</v>
      </c>
    </row>
    <row r="25" spans="1:82" ht="11.25" customHeight="1">
      <c r="A25" s="995" t="s">
        <v>1548</v>
      </c>
      <c r="B25" s="996">
        <v>2023</v>
      </c>
      <c r="AW25" s="1038" t="s">
        <v>1549</v>
      </c>
      <c r="AX25" s="1038" t="s">
        <v>1549</v>
      </c>
      <c r="AZ25" s="1038" t="s">
        <v>1550</v>
      </c>
      <c r="BB25" s="1038" t="s">
        <v>1551</v>
      </c>
      <c r="BC25" s="1038" t="s">
        <v>1544</v>
      </c>
      <c r="BE25" s="1038">
        <v>2023</v>
      </c>
      <c r="BH25" s="989" t="s">
        <v>1476</v>
      </c>
      <c r="BJ25" s="989" t="s">
        <v>1501</v>
      </c>
      <c r="BL25" s="989" t="s">
        <v>1501</v>
      </c>
      <c r="BQ25" s="1199">
        <v>4190070</v>
      </c>
      <c r="BR25" s="989" t="s">
        <v>1552</v>
      </c>
      <c r="BS25" s="1347"/>
      <c r="BT25" s="1199">
        <v>4189677</v>
      </c>
      <c r="BU25" s="989" t="s">
        <v>1553</v>
      </c>
      <c r="BV25" s="991"/>
      <c r="BW25" s="991"/>
    </row>
    <row r="26" spans="1:82" ht="11.25" customHeight="1">
      <c r="A26" s="995" t="s">
        <v>1554</v>
      </c>
      <c r="B26" s="996">
        <v>2024</v>
      </c>
      <c r="J26" s="1648" t="s">
        <v>1555</v>
      </c>
      <c r="AX26" s="1038" t="s">
        <v>1556</v>
      </c>
      <c r="AZ26" s="1038" t="s">
        <v>1420</v>
      </c>
      <c r="BB26" s="1038" t="s">
        <v>1557</v>
      </c>
      <c r="BC26" s="1038" t="s">
        <v>1544</v>
      </c>
      <c r="BE26" s="1038">
        <v>2024</v>
      </c>
      <c r="BH26" s="989" t="s">
        <v>1487</v>
      </c>
      <c r="BJ26" s="989" t="s">
        <v>1438</v>
      </c>
      <c r="BL26" s="989" t="s">
        <v>1438</v>
      </c>
      <c r="BQ26" s="1199">
        <v>4190071</v>
      </c>
      <c r="BR26" s="989" t="s">
        <v>1558</v>
      </c>
      <c r="BS26" s="1347"/>
      <c r="BV26" s="991"/>
      <c r="BW26" s="991"/>
    </row>
    <row r="27" spans="1:82" ht="11.25" customHeight="1">
      <c r="A27" s="995" t="s">
        <v>1559</v>
      </c>
      <c r="B27" s="996">
        <v>2025</v>
      </c>
      <c r="J27" s="112" t="s">
        <v>427</v>
      </c>
      <c r="AX27" s="1038" t="s">
        <v>1560</v>
      </c>
      <c r="BB27" s="1038" t="s">
        <v>1561</v>
      </c>
      <c r="BC27" s="1038" t="s">
        <v>1544</v>
      </c>
      <c r="BE27" s="1038">
        <v>2025</v>
      </c>
      <c r="BH27" s="991" t="s">
        <v>28</v>
      </c>
      <c r="BJ27" s="989" t="s">
        <v>1445</v>
      </c>
      <c r="BL27" s="989" t="s">
        <v>1445</v>
      </c>
      <c r="BN27" s="991" t="s">
        <v>28</v>
      </c>
      <c r="BQ27" s="1199">
        <v>4190072</v>
      </c>
      <c r="BR27" s="989" t="s">
        <v>1562</v>
      </c>
      <c r="BS27" s="1347"/>
      <c r="BV27" s="991"/>
      <c r="BW27" s="991"/>
    </row>
    <row r="28" spans="1:82" ht="11.25" customHeight="1">
      <c r="A28" s="995" t="s">
        <v>1563</v>
      </c>
      <c r="D28" s="1020"/>
      <c r="E28" s="1021"/>
      <c r="F28" s="1021"/>
      <c r="H28" s="1022" t="s">
        <v>1564</v>
      </c>
      <c r="AX28" s="1038" t="s">
        <v>1565</v>
      </c>
      <c r="AZ28" s="988" t="s">
        <v>1566</v>
      </c>
      <c r="BB28" s="1038" t="s">
        <v>1567</v>
      </c>
      <c r="BC28" s="1038" t="s">
        <v>1568</v>
      </c>
      <c r="BE28" s="1038">
        <v>2026</v>
      </c>
      <c r="BH28" s="991" t="s">
        <v>28</v>
      </c>
      <c r="BJ28" s="989" t="s">
        <v>1452</v>
      </c>
      <c r="BL28" s="989" t="s">
        <v>1452</v>
      </c>
      <c r="BN28" s="991" t="s">
        <v>28</v>
      </c>
      <c r="BQ28" s="1199">
        <v>4190073</v>
      </c>
      <c r="BR28" s="989" t="s">
        <v>1569</v>
      </c>
      <c r="BS28" s="1347"/>
      <c r="BV28" s="991"/>
      <c r="BW28" s="991"/>
    </row>
    <row r="29" spans="1:82" ht="11.25" customHeight="1">
      <c r="A29" s="995" t="s">
        <v>1570</v>
      </c>
      <c r="D29" s="1023" t="s">
        <v>1571</v>
      </c>
      <c r="E29" s="1024" t="str">
        <f>IF(TEMPLATE_GROUP="","",INDEX(StartDateList,MATCH(TEMPLATE_GROUP,CodeTemplateList,0),1))</f>
        <v>01.01.2025</v>
      </c>
      <c r="F29" s="1024" t="str">
        <f>IF(TEMPLATE_GROUP="","",INDEX(EndDateList,MATCH(TEMPLATE_GROUP,CodeTemplateList,0),1))</f>
        <v>31.12.2029</v>
      </c>
      <c r="H29" s="1025" t="s">
        <v>1572</v>
      </c>
      <c r="AX29" s="1038" t="s">
        <v>1573</v>
      </c>
      <c r="AZ29" s="1038" t="s">
        <v>449</v>
      </c>
      <c r="BB29" s="1038" t="s">
        <v>1420</v>
      </c>
      <c r="BC29" s="1011"/>
      <c r="BE29" s="1038">
        <v>2027</v>
      </c>
      <c r="BJ29" s="989" t="s">
        <v>1460</v>
      </c>
      <c r="BL29" s="989" t="s">
        <v>1460</v>
      </c>
    </row>
    <row r="30" spans="1:82" ht="11.25" customHeight="1">
      <c r="A30" s="995" t="s">
        <v>1574</v>
      </c>
      <c r="D30" s="1026"/>
      <c r="E30" s="1027"/>
      <c r="F30" s="1027"/>
      <c r="AX30" s="1038" t="s">
        <v>1575</v>
      </c>
      <c r="AZ30" s="1038" t="s">
        <v>1245</v>
      </c>
      <c r="BE30" s="1038">
        <v>2028</v>
      </c>
      <c r="BJ30" s="989" t="s">
        <v>1576</v>
      </c>
      <c r="BL30" s="989" t="s">
        <v>1576</v>
      </c>
    </row>
    <row r="31" spans="1:82" ht="12.75" customHeight="1">
      <c r="A31" s="995" t="s">
        <v>1577</v>
      </c>
      <c r="D31" s="1020"/>
      <c r="E31" s="1021"/>
      <c r="F31" s="1021"/>
      <c r="H31" s="1028"/>
      <c r="AX31" s="1038" t="s">
        <v>1578</v>
      </c>
      <c r="AZ31" s="1038" t="s">
        <v>1579</v>
      </c>
      <c r="BE31" s="1038">
        <v>2029</v>
      </c>
      <c r="BJ31" s="989" t="s">
        <v>1580</v>
      </c>
      <c r="BL31" s="989" t="s">
        <v>1580</v>
      </c>
    </row>
    <row r="32" spans="1:82" ht="11.25" customHeight="1">
      <c r="A32" s="995" t="s">
        <v>1581</v>
      </c>
      <c r="D32" s="1023" t="s">
        <v>1582</v>
      </c>
      <c r="E32" s="1024" t="str">
        <f>IF(TEMPLATE_GROUP="","",INDEX(StartDateList,MATCH(TEMPLATE_GROUP,CodeTemplateList,0),1))</f>
        <v>01.01.2025</v>
      </c>
      <c r="F32" s="1024" t="str">
        <f>IF(TEMPLATE_GROUP="","",INDEX(EndDateList,MATCH(TEMPLATE_GROUP,CodeTemplateList,0),1))</f>
        <v>31.12.2029</v>
      </c>
      <c r="H32" s="1029" t="s">
        <v>1583</v>
      </c>
      <c r="O32" s="995" t="s">
        <v>450</v>
      </c>
      <c r="AX32" s="1038" t="s">
        <v>1584</v>
      </c>
      <c r="AZ32" s="1038" t="s">
        <v>1313</v>
      </c>
      <c r="BE32" s="1038">
        <v>2030</v>
      </c>
      <c r="BJ32" s="989" t="s">
        <v>1469</v>
      </c>
      <c r="BL32" s="989" t="s">
        <v>1469</v>
      </c>
    </row>
    <row r="33" spans="1:66" ht="11.25" customHeight="1">
      <c r="A33" s="995" t="s">
        <v>1585</v>
      </c>
      <c r="O33" s="995" t="s">
        <v>1244</v>
      </c>
      <c r="AX33" s="1038" t="s">
        <v>1586</v>
      </c>
      <c r="AZ33" s="1038" t="s">
        <v>1221</v>
      </c>
      <c r="BE33" s="1038">
        <v>2031</v>
      </c>
      <c r="BJ33" s="989" t="s">
        <v>1476</v>
      </c>
      <c r="BL33" s="989" t="s">
        <v>1476</v>
      </c>
    </row>
    <row r="34" spans="1:66" ht="11.25" customHeight="1">
      <c r="A34" s="995" t="s">
        <v>1587</v>
      </c>
      <c r="O34" s="995" t="s">
        <v>1278</v>
      </c>
      <c r="AX34" s="1038" t="s">
        <v>1588</v>
      </c>
      <c r="BE34" s="1038">
        <v>2032</v>
      </c>
      <c r="BJ34" s="989" t="s">
        <v>1487</v>
      </c>
      <c r="BL34" s="989" t="s">
        <v>1487</v>
      </c>
    </row>
    <row r="35" spans="1:66" ht="11.25" customHeight="1">
      <c r="A35" s="995" t="s">
        <v>1589</v>
      </c>
      <c r="O35" s="995" t="s">
        <v>1311</v>
      </c>
      <c r="AX35" s="1038" t="s">
        <v>1590</v>
      </c>
      <c r="AZ35" s="988" t="s">
        <v>1591</v>
      </c>
      <c r="BE35" s="1038">
        <v>2033</v>
      </c>
      <c r="BL35" s="989" t="s">
        <v>1592</v>
      </c>
    </row>
    <row r="36" spans="1:66" ht="11.25" customHeight="1">
      <c r="A36" s="1785" t="s">
        <v>1593</v>
      </c>
      <c r="D36" s="1030" t="s">
        <v>1594</v>
      </c>
      <c r="E36" s="1031" t="s">
        <v>809</v>
      </c>
      <c r="F36" s="1032" t="str">
        <f>INDEX(E37:E41,MATCH(TEMPLATE_SPHERE,F37:F41,0))</f>
        <v>теплоснабжения</v>
      </c>
      <c r="G36" s="1032" t="str">
        <f>INDEX(G37:G41,MATCH(TEMPLATE_SPHERE,F37:F41,0))</f>
        <v>теплоснабжение</v>
      </c>
      <c r="O36" s="995" t="s">
        <v>1336</v>
      </c>
      <c r="AX36" s="1038" t="s">
        <v>1595</v>
      </c>
      <c r="AZ36" s="1038" t="s">
        <v>1221</v>
      </c>
      <c r="BE36" s="1038">
        <v>2034</v>
      </c>
      <c r="BL36" s="989" t="s">
        <v>1596</v>
      </c>
    </row>
    <row r="37" spans="1:66" ht="11.25" customHeight="1">
      <c r="A37" s="995" t="s">
        <v>1597</v>
      </c>
      <c r="E37" s="342" t="s">
        <v>1598</v>
      </c>
      <c r="F37" s="1033" t="s">
        <v>809</v>
      </c>
      <c r="G37" s="342" t="s">
        <v>1599</v>
      </c>
      <c r="O37" s="995" t="s">
        <v>1355</v>
      </c>
      <c r="AX37" s="1038" t="s">
        <v>1600</v>
      </c>
      <c r="AZ37" s="1038" t="s">
        <v>448</v>
      </c>
      <c r="BE37" s="1038">
        <v>2035</v>
      </c>
    </row>
    <row r="38" spans="1:66" ht="11.25" customHeight="1">
      <c r="A38" s="995" t="s">
        <v>1601</v>
      </c>
      <c r="E38" s="342" t="s">
        <v>1602</v>
      </c>
      <c r="F38" s="1034" t="s">
        <v>855</v>
      </c>
      <c r="G38" s="342" t="s">
        <v>1603</v>
      </c>
      <c r="O38" s="995" t="s">
        <v>1372</v>
      </c>
      <c r="AX38" s="1038" t="s">
        <v>1604</v>
      </c>
      <c r="AZ38" s="1038" t="s">
        <v>1279</v>
      </c>
      <c r="BE38" s="1038">
        <v>2036</v>
      </c>
      <c r="BH38" s="988" t="s">
        <v>1605</v>
      </c>
      <c r="BJ38" s="988" t="s">
        <v>1606</v>
      </c>
      <c r="BL38" s="988" t="s">
        <v>1607</v>
      </c>
      <c r="BN38" s="988" t="s">
        <v>1608</v>
      </c>
    </row>
    <row r="39" spans="1:66" ht="11.25" customHeight="1">
      <c r="A39" s="995" t="s">
        <v>1609</v>
      </c>
      <c r="E39" s="342" t="s">
        <v>1610</v>
      </c>
      <c r="F39" s="1034" t="s">
        <v>908</v>
      </c>
      <c r="G39" s="342" t="s">
        <v>1611</v>
      </c>
      <c r="O39" s="995" t="s">
        <v>1388</v>
      </c>
      <c r="AX39" s="1038" t="s">
        <v>1612</v>
      </c>
      <c r="AZ39" s="1038" t="s">
        <v>1312</v>
      </c>
      <c r="BE39" s="1038">
        <v>2037</v>
      </c>
      <c r="BH39" s="989" t="s">
        <v>1613</v>
      </c>
      <c r="BJ39" s="1135" t="s">
        <v>1613</v>
      </c>
      <c r="BL39" s="1135" t="s">
        <v>1613</v>
      </c>
      <c r="BN39" s="989" t="s">
        <v>1614</v>
      </c>
    </row>
    <row r="40" spans="1:66" ht="11.25" customHeight="1">
      <c r="A40" s="995" t="s">
        <v>1615</v>
      </c>
      <c r="E40" s="342" t="s">
        <v>1616</v>
      </c>
      <c r="F40" s="1034" t="s">
        <v>895</v>
      </c>
      <c r="G40" s="342" t="s">
        <v>1617</v>
      </c>
      <c r="O40" s="995" t="s">
        <v>1404</v>
      </c>
      <c r="AX40" s="1038" t="s">
        <v>1618</v>
      </c>
      <c r="BE40" s="1038">
        <v>2038</v>
      </c>
      <c r="BH40" s="989" t="s">
        <v>1619</v>
      </c>
      <c r="BJ40" s="1135" t="s">
        <v>1028</v>
      </c>
      <c r="BL40" s="1135" t="s">
        <v>1028</v>
      </c>
      <c r="BN40" s="989" t="s">
        <v>1062</v>
      </c>
    </row>
    <row r="41" spans="1:66" ht="11.25" customHeight="1">
      <c r="A41" s="995" t="s">
        <v>1620</v>
      </c>
      <c r="E41" s="342" t="s">
        <v>1621</v>
      </c>
      <c r="F41" s="1034" t="s">
        <v>1622</v>
      </c>
      <c r="G41" s="342" t="s">
        <v>1621</v>
      </c>
      <c r="O41" s="995" t="s">
        <v>1420</v>
      </c>
      <c r="AX41" s="1038" t="s">
        <v>1623</v>
      </c>
      <c r="AZ41" s="988" t="s">
        <v>1624</v>
      </c>
      <c r="BE41" s="1038">
        <v>2039</v>
      </c>
      <c r="BH41" s="989" t="s">
        <v>1625</v>
      </c>
      <c r="BJ41" s="1135" t="s">
        <v>1024</v>
      </c>
      <c r="BL41" s="1135" t="s">
        <v>1024</v>
      </c>
      <c r="BN41" s="989" t="s">
        <v>1049</v>
      </c>
    </row>
    <row r="42" spans="1:66" ht="11.25" customHeight="1">
      <c r="A42" s="995" t="s">
        <v>1626</v>
      </c>
      <c r="AX42" s="1038" t="s">
        <v>1627</v>
      </c>
      <c r="AZ42" s="1038" t="s">
        <v>450</v>
      </c>
      <c r="BE42" s="1038">
        <v>2040</v>
      </c>
      <c r="BH42" s="989" t="s">
        <v>1046</v>
      </c>
      <c r="BJ42" s="1135" t="s">
        <v>1026</v>
      </c>
      <c r="BL42" s="1135" t="s">
        <v>1026</v>
      </c>
      <c r="BN42" s="989" t="s">
        <v>1628</v>
      </c>
    </row>
    <row r="43" spans="1:66" ht="11.25" customHeight="1">
      <c r="A43" s="995" t="s">
        <v>1629</v>
      </c>
      <c r="AX43" s="1038" t="s">
        <v>1630</v>
      </c>
      <c r="AZ43" s="1038" t="s">
        <v>1244</v>
      </c>
      <c r="BE43" s="1038">
        <v>2041</v>
      </c>
      <c r="BH43" s="989" t="s">
        <v>1631</v>
      </c>
      <c r="BJ43" s="1135" t="s">
        <v>1625</v>
      </c>
      <c r="BL43" s="1135" t="s">
        <v>1625</v>
      </c>
      <c r="BN43" s="989" t="s">
        <v>1632</v>
      </c>
    </row>
    <row r="44" spans="1:66" ht="11.25" customHeight="1">
      <c r="A44" s="995" t="s">
        <v>1633</v>
      </c>
      <c r="G44" s="1014">
        <f ca="1">YEAR(TODAY())</f>
        <v>2024</v>
      </c>
      <c r="I44" s="728" t="s">
        <v>1634</v>
      </c>
      <c r="J44" s="1010" t="s">
        <v>1635</v>
      </c>
      <c r="K44" s="1010" t="s">
        <v>1636</v>
      </c>
      <c r="AX44" s="1038" t="s">
        <v>1637</v>
      </c>
      <c r="AZ44" s="1038" t="s">
        <v>1278</v>
      </c>
      <c r="BE44" s="1038">
        <v>2042</v>
      </c>
      <c r="BH44" s="989" t="s">
        <v>1638</v>
      </c>
      <c r="BJ44" s="1135" t="s">
        <v>1046</v>
      </c>
      <c r="BL44" s="1135" t="s">
        <v>1046</v>
      </c>
      <c r="BN44" s="989" t="s">
        <v>1639</v>
      </c>
    </row>
    <row r="45" spans="1:66" ht="11.25" customHeight="1">
      <c r="A45" s="995" t="s">
        <v>1640</v>
      </c>
      <c r="D45" s="1030" t="s">
        <v>1641</v>
      </c>
      <c r="E45" s="1031" t="s">
        <v>1642</v>
      </c>
      <c r="F45" s="726" t="s">
        <v>1643</v>
      </c>
      <c r="G45" s="725" t="s">
        <v>1644</v>
      </c>
      <c r="H45" s="728" t="s">
        <v>1645</v>
      </c>
      <c r="I45" s="1658" t="b">
        <f>INDEX(PeriodIsEmptyList,MATCH(TEMPLATE_GROUP,CodeTemplateList,0),1)</f>
        <v>0</v>
      </c>
      <c r="J45" s="1661"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1646</v>
      </c>
      <c r="AZ45" s="1038" t="s">
        <v>1311</v>
      </c>
      <c r="BE45" s="1038">
        <v>2043</v>
      </c>
      <c r="BH45" s="989" t="s">
        <v>1647</v>
      </c>
      <c r="BJ45" s="1135" t="s">
        <v>1040</v>
      </c>
      <c r="BL45" s="1135" t="s">
        <v>1040</v>
      </c>
      <c r="BN45" s="989" t="s">
        <v>1648</v>
      </c>
    </row>
    <row r="46" spans="1:66" ht="11.25" customHeight="1">
      <c r="A46" s="995" t="s">
        <v>1649</v>
      </c>
      <c r="E46" s="342" t="s">
        <v>26</v>
      </c>
      <c r="F46" s="1033" t="s">
        <v>1650</v>
      </c>
      <c r="G46" s="1035" t="str">
        <f ca="1">IFERROR(IF(TITLE_DATE_FIL="","01.01."&amp;CURRENT_YEAR,"01.01."&amp;YEAR(TITLE_DATE_FIL)),"01.01."&amp;CURRENT_YEAR)</f>
        <v>01.01.2024</v>
      </c>
      <c r="H46" s="1035"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1651</v>
      </c>
      <c r="AZ46" s="1038" t="s">
        <v>1336</v>
      </c>
      <c r="BE46" s="1038">
        <v>2044</v>
      </c>
      <c r="BH46" s="989" t="s">
        <v>1049</v>
      </c>
      <c r="BJ46" s="1135" t="s">
        <v>1030</v>
      </c>
      <c r="BL46" s="1135" t="s">
        <v>1030</v>
      </c>
      <c r="BN46" s="989" t="s">
        <v>1652</v>
      </c>
    </row>
    <row r="47" spans="1:66" ht="11.25" customHeight="1">
      <c r="A47" s="995" t="s">
        <v>1653</v>
      </c>
      <c r="E47" s="342" t="s">
        <v>33</v>
      </c>
      <c r="F47" s="1034" t="s">
        <v>1654</v>
      </c>
      <c r="G47" s="1035" t="str">
        <f ca="1">IFERROR(IF(f_year="","01.01."&amp;CURRENT_YEAR,IF(LEN(f_quart)=0,"01.01."&amp;f_year,IF(f_quart="I квартал","01.01."&amp;f_year,IF(f_quart="II квартал","01.04."&amp;f_year,(IF(f_quart="III квартал","01.07."&amp;f_year,"01.10."&amp;f_year)))))),"01.01."&amp;CURRENT_YEAR)</f>
        <v>01.01.2024</v>
      </c>
      <c r="H47" s="1035" t="str">
        <f ca="1">IFERROR(IF(f_year="","31.12."&amp;CURRENT_YEAR,IF(LEN(f_quart)=0,"31.12."&amp;f_year,IF(f_quart="I квартал","31.03."&amp;f_year,IF(f_quart="II квартал","30.06."&amp;f_year,(IF(f_quart="III квартал","30.09."&amp;f_year,"31.12."&amp;f_year)))))),"31.12."&amp;CURRENT_YEAR)</f>
        <v>31.12.2024</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1655</v>
      </c>
      <c r="AZ47" s="1038" t="s">
        <v>1355</v>
      </c>
      <c r="BE47" s="1038">
        <v>2045</v>
      </c>
      <c r="BH47" s="989" t="s">
        <v>1628</v>
      </c>
      <c r="BJ47" s="1135" t="s">
        <v>1032</v>
      </c>
      <c r="BL47" s="1135" t="s">
        <v>1032</v>
      </c>
      <c r="BN47" s="989" t="s">
        <v>1656</v>
      </c>
    </row>
    <row r="48" spans="1:66" ht="11.25" customHeight="1">
      <c r="A48" s="995" t="s">
        <v>1657</v>
      </c>
      <c r="E48" s="342" t="s">
        <v>1658</v>
      </c>
      <c r="F48" s="1034" t="s">
        <v>1659</v>
      </c>
      <c r="G48" s="1035" t="str">
        <f ca="1">IFERROR(IF(f_year="","01.01."&amp;CURRENT_YEAR,"01.01."&amp;f_year),"01.01."&amp;CURRENT_YEAR)</f>
        <v>01.01.2024</v>
      </c>
      <c r="H48" s="1035" t="str">
        <f ca="1">IFERROR(IF(f_year="","31.12."&amp;CURRENT_YEAR,"31.12."&amp;f_year),"31.12."&amp;CURRENT_YEAR)</f>
        <v>31.12.2024</v>
      </c>
      <c r="I48" s="1659" t="b">
        <f>IF(f_year="",TRUE,FALSE)</f>
        <v>1</v>
      </c>
      <c r="J48" s="1662" t="s">
        <v>1660</v>
      </c>
      <c r="K48" s="1663"/>
      <c r="AX48" s="1038" t="s">
        <v>1661</v>
      </c>
      <c r="AZ48" s="1038" t="s">
        <v>1372</v>
      </c>
      <c r="BE48" s="1038">
        <v>2046</v>
      </c>
      <c r="BH48" s="989" t="s">
        <v>1632</v>
      </c>
      <c r="BJ48" s="1135" t="s">
        <v>1034</v>
      </c>
      <c r="BL48" s="1135" t="s">
        <v>1034</v>
      </c>
      <c r="BN48" s="989" t="s">
        <v>1662</v>
      </c>
    </row>
    <row r="49" spans="1:64" ht="11.25" customHeight="1">
      <c r="A49" s="995" t="s">
        <v>1663</v>
      </c>
      <c r="E49" s="342" t="s">
        <v>1664</v>
      </c>
      <c r="F49" s="1034" t="s">
        <v>1665</v>
      </c>
      <c r="G49" s="1035" t="str">
        <f ca="1">IFERROR(IF(f_year="","01.01."&amp;CURRENT_YEAR,"01.01."&amp;f_year),"01.01."&amp;CURRENT_YEAR)</f>
        <v>01.01.2024</v>
      </c>
      <c r="H49" s="1035" t="str">
        <f ca="1">IFERROR(IF(f_year="","31.12."&amp;CURRENT_YEAR,"31.12."&amp;f_year),"31.12."&amp;CURRENT_YEAR)</f>
        <v>31.12.2024</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1666</v>
      </c>
      <c r="AZ49" s="1038" t="s">
        <v>1388</v>
      </c>
      <c r="BE49" s="1038">
        <v>2047</v>
      </c>
      <c r="BH49" s="989" t="s">
        <v>1050</v>
      </c>
      <c r="BJ49" s="1135" t="s">
        <v>1036</v>
      </c>
      <c r="BL49" s="1135" t="s">
        <v>1036</v>
      </c>
    </row>
    <row r="50" spans="1:64" ht="11.25" customHeight="1">
      <c r="A50" s="995" t="s">
        <v>1667</v>
      </c>
      <c r="E50" s="342" t="s">
        <v>1668</v>
      </c>
      <c r="F50" s="1034" t="s">
        <v>1020</v>
      </c>
      <c r="G50" s="1035" t="str">
        <f ca="1">IFERROR(IF(f_year="","01.01."&amp;CURRENT_YEAR,"01.01."&amp;f_year),"01.01."&amp;CURRENT_YEAR)</f>
        <v>01.01.2024</v>
      </c>
      <c r="H50" s="1035" t="str">
        <f ca="1">IFERROR(IF(f_year="","31.12."&amp;CURRENT_YEAR,"31.12."&amp;f_year),"31.12."&amp;CURRENT_YEAR)</f>
        <v>31.12.2024</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1669</v>
      </c>
      <c r="AZ50" s="1038" t="s">
        <v>1404</v>
      </c>
      <c r="BE50" s="1038">
        <v>2048</v>
      </c>
      <c r="BH50" s="989" t="s">
        <v>1639</v>
      </c>
      <c r="BJ50" s="1135" t="s">
        <v>1038</v>
      </c>
      <c r="BL50" s="1135" t="s">
        <v>1038</v>
      </c>
    </row>
    <row r="51" spans="1:64" ht="11.25" customHeight="1">
      <c r="A51" s="995" t="s">
        <v>1670</v>
      </c>
      <c r="E51" s="342" t="s">
        <v>1671</v>
      </c>
      <c r="F51" s="1034" t="s">
        <v>1642</v>
      </c>
      <c r="G51" s="1035" t="str">
        <f>IFERROR(IF(TITLE_PERIOD_START="","01.01."&amp;CURRENT_YEAR,"01.01."&amp;YEAR(TITLE_PERIOD_START)),"01.01."&amp;CURRENT_YEAR)</f>
        <v>01.01.2025</v>
      </c>
      <c r="H51" s="1035" t="str">
        <f>IFERROR(IF(TITLE_PERIOD_END="","31.12."&amp;CURRENT_YEAR,"31.12."&amp;YEAR(TITLE_PERIOD_END)),"31.12."&amp;CURRENT_YEAR)</f>
        <v>31.12.2029</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1672</v>
      </c>
      <c r="AZ51" s="1038" t="s">
        <v>1420</v>
      </c>
      <c r="BE51" s="1038">
        <v>2049</v>
      </c>
      <c r="BH51" s="989" t="s">
        <v>1648</v>
      </c>
      <c r="BJ51" s="1135" t="s">
        <v>1673</v>
      </c>
      <c r="BL51" s="1135" t="s">
        <v>1673</v>
      </c>
    </row>
    <row r="52" spans="1:64" ht="11.25" customHeight="1">
      <c r="A52" s="995" t="s">
        <v>1674</v>
      </c>
      <c r="E52" s="342" t="s">
        <v>1675</v>
      </c>
      <c r="F52" s="1034" t="s">
        <v>1676</v>
      </c>
      <c r="G52" s="1035" t="str">
        <f>IFERROR(IF(TITLE_PERIOD_START="","01.01."&amp;CURRENT_YEAR,"01.01."&amp;YEAR(TITLE_PERIOD_START)),"01.01."&amp;CURRENT_YEAR)</f>
        <v>01.01.2025</v>
      </c>
      <c r="H52" s="1035" t="str">
        <f>IFERROR(IF(TITLE_PERIOD_END="","31.12."&amp;CURRENT_YEAR,"31.12."&amp;YEAR(TITLE_PERIOD_END)),"31.12."&amp;CURRENT_YEAR)</f>
        <v>31.12.2029</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1677</v>
      </c>
      <c r="AZ52" s="1038" t="s">
        <v>1221</v>
      </c>
      <c r="BE52" s="1038">
        <v>2050</v>
      </c>
      <c r="BH52" s="989" t="s">
        <v>1652</v>
      </c>
      <c r="BJ52" s="1135" t="s">
        <v>1049</v>
      </c>
      <c r="BL52" s="1135" t="s">
        <v>1049</v>
      </c>
    </row>
    <row r="53" spans="1:64" ht="11.25" customHeight="1">
      <c r="A53" s="995" t="s">
        <v>1678</v>
      </c>
      <c r="E53" s="342" t="s">
        <v>1679</v>
      </c>
      <c r="F53" s="1034" t="s">
        <v>1679</v>
      </c>
      <c r="G53" s="1035" t="str">
        <f ca="1">IFERROR(IF(f_year="","01.01."&amp;CURRENT_YEAR,"01.01."&amp;f_year),"01.01."&amp;CURRENT_YEAR)</f>
        <v>01.01.2024</v>
      </c>
      <c r="H53" s="1035" t="str">
        <f ca="1">IFERROR(IF(f_year="","31.12."&amp;CURRENT_YEAR,"31.12."&amp;f_year),"31.12."&amp;CURRENT_YEAR)</f>
        <v>31.12.2024</v>
      </c>
      <c r="I53" s="1659" t="b">
        <f>IF(AND(f_year="",TITLE_DATE_FIL=""),TRUE,FALSE)</f>
        <v>1</v>
      </c>
      <c r="J53" s="1662" t="s">
        <v>1680</v>
      </c>
      <c r="K53" s="1663"/>
      <c r="AX53" s="1038" t="s">
        <v>1681</v>
      </c>
      <c r="BE53" s="1038">
        <v>2051</v>
      </c>
      <c r="BH53" s="989" t="s">
        <v>1656</v>
      </c>
      <c r="BJ53" s="1135" t="s">
        <v>1628</v>
      </c>
      <c r="BL53" s="1135" t="s">
        <v>1628</v>
      </c>
    </row>
    <row r="54" spans="1:64" ht="11.25" customHeight="1">
      <c r="A54" s="995" t="s">
        <v>1682</v>
      </c>
      <c r="AX54" s="1038" t="s">
        <v>1683</v>
      </c>
      <c r="AZ54" s="988" t="s">
        <v>1684</v>
      </c>
      <c r="BE54" s="1038">
        <v>2052</v>
      </c>
      <c r="BH54" s="989" t="s">
        <v>1662</v>
      </c>
      <c r="BJ54" s="1135" t="s">
        <v>1632</v>
      </c>
      <c r="BL54" s="1135" t="s">
        <v>1632</v>
      </c>
    </row>
    <row r="55" spans="1:64" ht="11.25" customHeight="1">
      <c r="A55" s="995" t="s">
        <v>1685</v>
      </c>
      <c r="AX55" s="1038" t="s">
        <v>1686</v>
      </c>
      <c r="AZ55" s="1038" t="s">
        <v>1222</v>
      </c>
      <c r="BE55" s="1038">
        <v>2053</v>
      </c>
      <c r="BH55" s="991" t="s">
        <v>28</v>
      </c>
      <c r="BJ55" s="1135" t="s">
        <v>1050</v>
      </c>
      <c r="BL55" s="1135" t="s">
        <v>1050</v>
      </c>
    </row>
    <row r="56" spans="1:64" ht="11.25" customHeight="1">
      <c r="A56" s="995" t="s">
        <v>1687</v>
      </c>
      <c r="D56" s="1037" t="s">
        <v>1688</v>
      </c>
      <c r="E56" s="1015" t="s">
        <v>110</v>
      </c>
      <c r="F56" s="995" t="s">
        <v>1689</v>
      </c>
      <c r="AX56" s="1038" t="s">
        <v>1690</v>
      </c>
      <c r="AZ56" s="1038" t="s">
        <v>1246</v>
      </c>
      <c r="BE56" s="1038">
        <v>2054</v>
      </c>
      <c r="BH56" s="991" t="s">
        <v>28</v>
      </c>
      <c r="BJ56" s="1135" t="s">
        <v>1639</v>
      </c>
      <c r="BL56" s="1135" t="s">
        <v>1639</v>
      </c>
    </row>
    <row r="57" spans="1:64" ht="11.25" customHeight="1">
      <c r="A57" s="995" t="s">
        <v>1691</v>
      </c>
      <c r="D57" s="1037" t="s">
        <v>1692</v>
      </c>
      <c r="E57" s="1015" t="s">
        <v>110</v>
      </c>
      <c r="F57" s="995" t="s">
        <v>1689</v>
      </c>
      <c r="AX57" s="1038" t="s">
        <v>1693</v>
      </c>
      <c r="AZ57" s="1038" t="s">
        <v>1281</v>
      </c>
      <c r="BE57" s="1038">
        <v>2055</v>
      </c>
      <c r="BJ57" s="1135" t="s">
        <v>1648</v>
      </c>
      <c r="BL57" s="1135" t="s">
        <v>1648</v>
      </c>
    </row>
    <row r="58" spans="1:64" ht="11.25" customHeight="1">
      <c r="A58" s="995" t="s">
        <v>1694</v>
      </c>
      <c r="D58" s="1037" t="s">
        <v>1695</v>
      </c>
      <c r="E58" s="1015" t="s">
        <v>110</v>
      </c>
      <c r="F58" s="995" t="s">
        <v>1689</v>
      </c>
      <c r="AX58" s="1038" t="s">
        <v>1696</v>
      </c>
      <c r="BE58" s="1038">
        <v>2056</v>
      </c>
      <c r="BJ58" s="1135" t="s">
        <v>1652</v>
      </c>
      <c r="BL58" s="1135" t="s">
        <v>1652</v>
      </c>
    </row>
    <row r="59" spans="1:64" ht="11.25" customHeight="1">
      <c r="A59" s="995" t="s">
        <v>1697</v>
      </c>
      <c r="D59" s="1037" t="s">
        <v>130</v>
      </c>
      <c r="E59" s="1015" t="s">
        <v>1584</v>
      </c>
      <c r="F59" s="995" t="s">
        <v>1698</v>
      </c>
      <c r="AX59" s="1038" t="s">
        <v>1699</v>
      </c>
      <c r="AZ59" s="988" t="s">
        <v>1700</v>
      </c>
      <c r="BE59" s="1038">
        <v>2057</v>
      </c>
      <c r="BJ59" s="1135" t="s">
        <v>1656</v>
      </c>
      <c r="BL59" s="1135" t="s">
        <v>1656</v>
      </c>
    </row>
    <row r="60" spans="1:64" ht="11.25" customHeight="1">
      <c r="A60" s="995" t="s">
        <v>1701</v>
      </c>
      <c r="D60" s="1037" t="s">
        <v>1702</v>
      </c>
      <c r="E60" s="1015" t="s">
        <v>1584</v>
      </c>
      <c r="F60" s="995" t="s">
        <v>1698</v>
      </c>
      <c r="AX60" s="1038" t="s">
        <v>1703</v>
      </c>
      <c r="AZ60" s="1038" t="s">
        <v>1223</v>
      </c>
      <c r="BE60" s="1038">
        <v>2058</v>
      </c>
      <c r="BJ60" s="1135" t="s">
        <v>1662</v>
      </c>
      <c r="BL60" s="1135" t="s">
        <v>1662</v>
      </c>
    </row>
    <row r="61" spans="1:64" ht="11.25" customHeight="1">
      <c r="A61" s="995" t="s">
        <v>1704</v>
      </c>
      <c r="D61" s="1037" t="s">
        <v>1705</v>
      </c>
      <c r="E61" s="1015" t="s">
        <v>1584</v>
      </c>
      <c r="F61" s="995" t="s">
        <v>1698</v>
      </c>
      <c r="AX61" s="1038" t="s">
        <v>1706</v>
      </c>
      <c r="AZ61" s="1038" t="s">
        <v>1247</v>
      </c>
      <c r="BE61" s="1038">
        <v>2059</v>
      </c>
      <c r="BL61" s="1135" t="s">
        <v>1042</v>
      </c>
    </row>
    <row r="62" spans="1:64" ht="11.25" customHeight="1">
      <c r="A62" s="995" t="s">
        <v>1707</v>
      </c>
      <c r="D62" s="1037" t="s">
        <v>129</v>
      </c>
      <c r="E62" s="1015">
        <v>30</v>
      </c>
      <c r="F62" s="995" t="s">
        <v>1698</v>
      </c>
      <c r="AZ62" s="1038" t="s">
        <v>1282</v>
      </c>
      <c r="BE62" s="1038">
        <v>2060</v>
      </c>
      <c r="BL62" s="1135" t="s">
        <v>1044</v>
      </c>
    </row>
    <row r="63" spans="1:64" ht="11.25" customHeight="1">
      <c r="A63" s="995" t="s">
        <v>1708</v>
      </c>
      <c r="D63" s="1037" t="s">
        <v>1709</v>
      </c>
      <c r="E63" s="1015">
        <v>30</v>
      </c>
      <c r="F63" s="995" t="s">
        <v>1698</v>
      </c>
      <c r="AZ63" s="1038" t="s">
        <v>1314</v>
      </c>
      <c r="BE63" s="1038">
        <v>2061</v>
      </c>
    </row>
    <row r="64" spans="1:64" ht="11.25" customHeight="1">
      <c r="A64" s="995" t="s">
        <v>1710</v>
      </c>
      <c r="D64" s="1037" t="s">
        <v>1711</v>
      </c>
      <c r="E64" s="1015">
        <v>30</v>
      </c>
      <c r="F64" s="995" t="s">
        <v>1698</v>
      </c>
      <c r="AZ64" s="1038" t="s">
        <v>1337</v>
      </c>
      <c r="BE64" s="1038">
        <v>2062</v>
      </c>
    </row>
    <row r="65" spans="1:66" ht="11.25" customHeight="1">
      <c r="A65" s="995" t="s">
        <v>1712</v>
      </c>
      <c r="D65" s="995"/>
      <c r="BE65" s="1038">
        <v>2063</v>
      </c>
    </row>
    <row r="66" spans="1:66" ht="11.25" customHeight="1">
      <c r="A66" s="995" t="s">
        <v>1713</v>
      </c>
      <c r="AZ66" s="988" t="s">
        <v>1714</v>
      </c>
      <c r="BE66" s="1038">
        <v>2064</v>
      </c>
    </row>
    <row r="67" spans="1:66" ht="11.25" customHeight="1">
      <c r="A67" s="995" t="s">
        <v>1715</v>
      </c>
      <c r="AZ67" s="1038" t="s">
        <v>1224</v>
      </c>
      <c r="BE67" s="1038">
        <v>2065</v>
      </c>
    </row>
    <row r="68" spans="1:66" ht="11.25" customHeight="1">
      <c r="A68" s="995" t="s">
        <v>1716</v>
      </c>
      <c r="AZ68" s="1038" t="s">
        <v>1248</v>
      </c>
      <c r="BE68" s="1038">
        <v>2066</v>
      </c>
      <c r="BH68" s="988" t="s">
        <v>1717</v>
      </c>
      <c r="BJ68" s="988" t="s">
        <v>1718</v>
      </c>
      <c r="BL68" s="988" t="s">
        <v>1719</v>
      </c>
      <c r="BN68" s="988" t="s">
        <v>1720</v>
      </c>
    </row>
    <row r="69" spans="1:66" ht="11.25" customHeight="1">
      <c r="A69" s="995" t="s">
        <v>1721</v>
      </c>
      <c r="AZ69" s="1038" t="s">
        <v>1283</v>
      </c>
      <c r="BE69" s="1038">
        <v>2067</v>
      </c>
      <c r="BH69" s="989" t="s">
        <v>1722</v>
      </c>
      <c r="BI69" s="1036" t="s">
        <v>108</v>
      </c>
      <c r="BJ69" s="989" t="s">
        <v>1723</v>
      </c>
      <c r="BK69" s="1036" t="s">
        <v>108</v>
      </c>
      <c r="BL69" s="989" t="s">
        <v>1724</v>
      </c>
      <c r="BM69" s="991" t="s">
        <v>108</v>
      </c>
      <c r="BN69" s="989" t="s">
        <v>1725</v>
      </c>
    </row>
    <row r="70" spans="1:66" ht="11.25" customHeight="1">
      <c r="A70" s="995" t="s">
        <v>1726</v>
      </c>
      <c r="AZ70" s="1038" t="s">
        <v>1315</v>
      </c>
      <c r="BE70" s="1038">
        <v>2068</v>
      </c>
      <c r="BH70" s="989" t="s">
        <v>1727</v>
      </c>
      <c r="BJ70" s="989" t="s">
        <v>1728</v>
      </c>
      <c r="BL70" s="989" t="s">
        <v>1729</v>
      </c>
      <c r="BN70" s="989" t="s">
        <v>1730</v>
      </c>
    </row>
    <row r="71" spans="1:66" ht="11.25" customHeight="1">
      <c r="A71" s="995" t="s">
        <v>1731</v>
      </c>
      <c r="AZ71" s="1038" t="s">
        <v>1317</v>
      </c>
      <c r="BE71" s="1038">
        <v>2069</v>
      </c>
      <c r="BH71" s="989" t="s">
        <v>1732</v>
      </c>
      <c r="BI71" s="1036" t="s">
        <v>89</v>
      </c>
      <c r="BJ71" s="989" t="s">
        <v>1733</v>
      </c>
      <c r="BK71" s="1036" t="s">
        <v>89</v>
      </c>
      <c r="BL71" s="989" t="s">
        <v>1734</v>
      </c>
      <c r="BM71" s="991" t="s">
        <v>89</v>
      </c>
      <c r="BN71" s="989" t="s">
        <v>1735</v>
      </c>
    </row>
    <row r="72" spans="1:66" ht="11.25" customHeight="1">
      <c r="A72" s="995" t="s">
        <v>1736</v>
      </c>
      <c r="AZ72" s="1038" t="s">
        <v>19</v>
      </c>
      <c r="BE72" s="1038">
        <v>2070</v>
      </c>
      <c r="BH72" s="989" t="s">
        <v>1737</v>
      </c>
      <c r="BJ72" s="989" t="s">
        <v>1737</v>
      </c>
      <c r="BL72" s="989" t="s">
        <v>1737</v>
      </c>
      <c r="BN72" s="989" t="s">
        <v>1738</v>
      </c>
    </row>
    <row r="73" spans="1:66" ht="11.25" customHeight="1">
      <c r="A73" s="995" t="s">
        <v>1739</v>
      </c>
      <c r="BH73" s="989" t="s">
        <v>1740</v>
      </c>
      <c r="BI73" s="1036" t="s">
        <v>110</v>
      </c>
      <c r="BJ73" s="989" t="s">
        <v>1741</v>
      </c>
      <c r="BK73" s="1036" t="s">
        <v>110</v>
      </c>
      <c r="BL73" s="989" t="s">
        <v>1742</v>
      </c>
      <c r="BM73" s="991" t="s">
        <v>110</v>
      </c>
      <c r="BN73" s="989" t="s">
        <v>1743</v>
      </c>
    </row>
    <row r="74" spans="1:66" ht="11.25" customHeight="1">
      <c r="A74" s="995" t="s">
        <v>1744</v>
      </c>
      <c r="BH74" s="989" t="s">
        <v>1745</v>
      </c>
      <c r="BJ74" s="989" t="s">
        <v>1746</v>
      </c>
      <c r="BL74" s="989" t="s">
        <v>1747</v>
      </c>
      <c r="BN74" s="989" t="s">
        <v>1748</v>
      </c>
    </row>
    <row r="75" spans="1:66" ht="11.25" customHeight="1">
      <c r="A75" s="995" t="s">
        <v>1749</v>
      </c>
      <c r="AZ75" s="988" t="s">
        <v>1750</v>
      </c>
      <c r="BH75" s="989" t="s">
        <v>1751</v>
      </c>
      <c r="BJ75" s="989" t="s">
        <v>1751</v>
      </c>
      <c r="BL75" s="989" t="s">
        <v>1751</v>
      </c>
    </row>
    <row r="76" spans="1:66" ht="11.25" customHeight="1">
      <c r="A76" s="995" t="s">
        <v>1752</v>
      </c>
      <c r="AZ76" s="1038" t="s">
        <v>1233</v>
      </c>
      <c r="BH76" s="989" t="s">
        <v>1753</v>
      </c>
      <c r="BJ76" s="989" t="s">
        <v>1754</v>
      </c>
      <c r="BL76" s="989" t="s">
        <v>1755</v>
      </c>
    </row>
    <row r="77" spans="1:66" ht="11.25" customHeight="1">
      <c r="A77" s="995" t="s">
        <v>1756</v>
      </c>
      <c r="AZ77" s="1038" t="s">
        <v>1258</v>
      </c>
    </row>
    <row r="78" spans="1:66" ht="11.25" customHeight="1">
      <c r="A78" s="995" t="s">
        <v>1757</v>
      </c>
      <c r="AZ78" s="1038" t="s">
        <v>1290</v>
      </c>
    </row>
    <row r="79" spans="1:66" ht="11.25" customHeight="1">
      <c r="A79" s="995" t="s">
        <v>1758</v>
      </c>
      <c r="AZ79" s="1038" t="s">
        <v>1321</v>
      </c>
      <c r="BH79" s="988" t="s">
        <v>1759</v>
      </c>
      <c r="BJ79" s="988" t="s">
        <v>1760</v>
      </c>
      <c r="BL79" s="988" t="s">
        <v>1761</v>
      </c>
    </row>
    <row r="80" spans="1:66" ht="11.25" customHeight="1">
      <c r="A80" s="995" t="s">
        <v>1762</v>
      </c>
      <c r="AZ80" s="1038" t="s">
        <v>1342</v>
      </c>
      <c r="BH80" s="989" t="s">
        <v>1763</v>
      </c>
      <c r="BJ80" s="989" t="s">
        <v>1764</v>
      </c>
      <c r="BL80" s="989" t="s">
        <v>1765</v>
      </c>
    </row>
    <row r="81" spans="1:66" ht="11.25" customHeight="1">
      <c r="A81" s="995" t="s">
        <v>1766</v>
      </c>
      <c r="AZ81" s="1038" t="s">
        <v>1359</v>
      </c>
      <c r="BH81" s="989" t="s">
        <v>1767</v>
      </c>
      <c r="BJ81" s="989" t="s">
        <v>1768</v>
      </c>
      <c r="BL81" s="989" t="s">
        <v>1769</v>
      </c>
    </row>
    <row r="82" spans="1:66" ht="11.25" customHeight="1">
      <c r="A82" s="995" t="s">
        <v>1770</v>
      </c>
      <c r="AZ82" s="1038" t="s">
        <v>1374</v>
      </c>
      <c r="BH82" s="989" t="s">
        <v>1771</v>
      </c>
      <c r="BJ82" s="989" t="s">
        <v>1772</v>
      </c>
      <c r="BL82" s="989" t="s">
        <v>1773</v>
      </c>
    </row>
    <row r="83" spans="1:66" ht="11.25" customHeight="1">
      <c r="A83" s="995" t="s">
        <v>1774</v>
      </c>
      <c r="BH83" s="989" t="s">
        <v>1775</v>
      </c>
      <c r="BJ83" s="989" t="s">
        <v>1776</v>
      </c>
      <c r="BL83" s="989" t="s">
        <v>1777</v>
      </c>
    </row>
    <row r="84" spans="1:66" ht="11.25" customHeight="1">
      <c r="A84" s="995" t="s">
        <v>1778</v>
      </c>
      <c r="AZ84" s="988" t="s">
        <v>1779</v>
      </c>
    </row>
    <row r="85" spans="1:66" ht="11.25" customHeight="1">
      <c r="A85" s="1785" t="s">
        <v>1780</v>
      </c>
      <c r="AZ85" s="1038" t="s">
        <v>1781</v>
      </c>
    </row>
    <row r="86" spans="1:66" ht="11.25" customHeight="1">
      <c r="A86" s="995" t="s">
        <v>1782</v>
      </c>
      <c r="AZ86" s="1038" t="s">
        <v>1783</v>
      </c>
      <c r="BH86" s="988" t="s">
        <v>1784</v>
      </c>
      <c r="BJ86" s="988" t="s">
        <v>1785</v>
      </c>
      <c r="BL86" s="988" t="s">
        <v>1786</v>
      </c>
    </row>
    <row r="87" spans="1:66" ht="11.25" customHeight="1">
      <c r="A87" s="995" t="s">
        <v>1787</v>
      </c>
      <c r="AZ87" s="1038" t="s">
        <v>1788</v>
      </c>
      <c r="BH87" s="989" t="s">
        <v>1789</v>
      </c>
      <c r="BJ87" s="989" t="s">
        <v>1790</v>
      </c>
      <c r="BL87" s="989" t="s">
        <v>1791</v>
      </c>
    </row>
    <row r="88" spans="1:66" ht="11.25" customHeight="1">
      <c r="A88" s="995" t="s">
        <v>1792</v>
      </c>
      <c r="AZ88" s="1524"/>
      <c r="BH88" s="989" t="s">
        <v>1793</v>
      </c>
      <c r="BJ88" s="989" t="s">
        <v>1794</v>
      </c>
      <c r="BL88" s="989" t="s">
        <v>1795</v>
      </c>
    </row>
    <row r="89" spans="1:66" ht="11.25" customHeight="1">
      <c r="A89" s="995" t="s">
        <v>1796</v>
      </c>
      <c r="AZ89" s="988" t="s">
        <v>1797</v>
      </c>
    </row>
    <row r="90" spans="1:66" ht="11.25" customHeight="1">
      <c r="A90" s="995" t="s">
        <v>16</v>
      </c>
      <c r="AZ90" s="1038" t="s">
        <v>1020</v>
      </c>
    </row>
    <row r="91" spans="1:66" ht="11.25" customHeight="1">
      <c r="A91" s="995" t="s">
        <v>1798</v>
      </c>
      <c r="AZ91" s="1038" t="s">
        <v>1056</v>
      </c>
      <c r="BH91" s="988" t="s">
        <v>1799</v>
      </c>
      <c r="BJ91" s="988" t="s">
        <v>1800</v>
      </c>
      <c r="BL91" s="988" t="s">
        <v>1801</v>
      </c>
    </row>
    <row r="92" spans="1:66" ht="11.25" customHeight="1">
      <c r="AZ92" s="1038" t="s">
        <v>1802</v>
      </c>
      <c r="BH92" s="989" t="s">
        <v>1803</v>
      </c>
      <c r="BJ92" s="989" t="s">
        <v>1804</v>
      </c>
      <c r="BL92" s="989" t="s">
        <v>1805</v>
      </c>
    </row>
    <row r="93" spans="1:66" ht="11.25" customHeight="1">
      <c r="AZ93" s="1038" t="s">
        <v>1806</v>
      </c>
      <c r="BH93" s="989" t="s">
        <v>1807</v>
      </c>
      <c r="BJ93" s="989" t="s">
        <v>1808</v>
      </c>
      <c r="BL93" s="989" t="s">
        <v>1809</v>
      </c>
    </row>
    <row r="94" spans="1:66" ht="11.25" customHeight="1">
      <c r="AZ94" s="1038" t="s">
        <v>1810</v>
      </c>
    </row>
    <row r="96" spans="1:66" ht="11.25" customHeight="1">
      <c r="AZ96" s="988" t="s">
        <v>1811</v>
      </c>
      <c r="BH96" s="988" t="s">
        <v>1812</v>
      </c>
      <c r="BJ96" s="988" t="s">
        <v>1813</v>
      </c>
      <c r="BL96" s="988" t="s">
        <v>1814</v>
      </c>
      <c r="BN96" s="988" t="s">
        <v>1815</v>
      </c>
    </row>
    <row r="97" spans="52:66" ht="11.25" customHeight="1">
      <c r="AZ97" s="1816" t="s">
        <v>1816</v>
      </c>
      <c r="BA97" s="1817" t="s">
        <v>1817</v>
      </c>
      <c r="BH97" s="989" t="s">
        <v>1818</v>
      </c>
      <c r="BJ97" s="989" t="s">
        <v>1819</v>
      </c>
      <c r="BL97" s="989" t="s">
        <v>1820</v>
      </c>
      <c r="BN97" s="989" t="s">
        <v>1821</v>
      </c>
    </row>
    <row r="98" spans="52:66" ht="11.25" customHeight="1">
      <c r="AZ98" s="1816" t="s">
        <v>1822</v>
      </c>
      <c r="BA98" s="1817" t="s">
        <v>1823</v>
      </c>
      <c r="BH98" s="989" t="s">
        <v>1824</v>
      </c>
      <c r="BJ98" s="989" t="s">
        <v>1825</v>
      </c>
      <c r="BL98" s="989" t="s">
        <v>1826</v>
      </c>
      <c r="BN98" s="989" t="s">
        <v>1827</v>
      </c>
    </row>
    <row r="99" spans="52:66" ht="22.5" customHeight="1">
      <c r="AZ99" s="1816" t="s">
        <v>1828</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1829</v>
      </c>
      <c r="BJ99" s="989" t="s">
        <v>1830</v>
      </c>
      <c r="BL99" s="989" t="s">
        <v>1831</v>
      </c>
      <c r="BN99" s="989" t="s">
        <v>1832</v>
      </c>
    </row>
    <row r="100" spans="52:66" ht="22.5" customHeight="1">
      <c r="AZ100" s="1816" t="s">
        <v>1833</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1420</v>
      </c>
      <c r="BL100" s="989" t="s">
        <v>1420</v>
      </c>
      <c r="BN100" s="989" t="s">
        <v>1834</v>
      </c>
    </row>
    <row r="101" spans="52:66" ht="22.5" customHeight="1">
      <c r="AZ101" s="1816" t="s">
        <v>1835</v>
      </c>
      <c r="BA101" s="1817" t="s">
        <v>1836</v>
      </c>
      <c r="BN101" s="989" t="s">
        <v>1837</v>
      </c>
    </row>
    <row r="102" spans="52:66" ht="22.5" customHeight="1">
      <c r="AZ102" s="1816" t="s">
        <v>1838</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1839</v>
      </c>
    </row>
    <row r="103" spans="52:66" ht="11.25" customHeight="1">
      <c r="AZ103" s="1816" t="s">
        <v>1840</v>
      </c>
      <c r="BA103" s="1817" t="s">
        <v>1841</v>
      </c>
      <c r="BN103" s="989" t="s">
        <v>1842</v>
      </c>
    </row>
    <row r="104" spans="52:66" ht="11.25" customHeight="1">
      <c r="BN104" s="989" t="s">
        <v>1843</v>
      </c>
    </row>
    <row r="105" spans="52:66" ht="11.25" customHeight="1">
      <c r="AZ105" s="1610" t="s">
        <v>1844</v>
      </c>
    </row>
    <row r="106" spans="52:66" ht="11.25" customHeight="1">
      <c r="AZ106" s="1038" t="s">
        <v>1845</v>
      </c>
    </row>
    <row r="107" spans="52:66" ht="11.25" customHeight="1">
      <c r="AZ107" s="1038" t="s">
        <v>1846</v>
      </c>
      <c r="BH107" s="988" t="s">
        <v>1847</v>
      </c>
      <c r="BJ107" s="988" t="s">
        <v>1848</v>
      </c>
      <c r="BL107" s="988" t="s">
        <v>1849</v>
      </c>
      <c r="BN107" s="988" t="s">
        <v>1850</v>
      </c>
    </row>
    <row r="108" spans="52:66" ht="11.25" customHeight="1">
      <c r="AZ108" s="1038" t="s">
        <v>573</v>
      </c>
      <c r="BH108" s="989" t="s">
        <v>1851</v>
      </c>
      <c r="BJ108" s="989" t="s">
        <v>1852</v>
      </c>
      <c r="BL108" s="989" t="s">
        <v>1506</v>
      </c>
      <c r="BN108" s="989" t="s">
        <v>1853</v>
      </c>
    </row>
    <row r="109" spans="52:66" ht="11.25" customHeight="1">
      <c r="BH109" s="989" t="s">
        <v>1854</v>
      </c>
    </row>
    <row r="110" spans="52:66" ht="11.25" customHeight="1">
      <c r="AZ110" s="1610" t="s">
        <v>1855</v>
      </c>
      <c r="BH110" s="989" t="s">
        <v>1854</v>
      </c>
    </row>
    <row r="111" spans="52:66" ht="11.25" customHeight="1">
      <c r="AZ111" s="1816" t="s">
        <v>1816</v>
      </c>
      <c r="BA111" s="1817" t="s">
        <v>1817</v>
      </c>
    </row>
    <row r="112" spans="52:66" ht="11.25" customHeight="1">
      <c r="AZ112" s="1816" t="s">
        <v>1822</v>
      </c>
      <c r="BA112" s="1817" t="s">
        <v>1823</v>
      </c>
    </row>
    <row r="113" spans="52:60" ht="22.5" customHeight="1">
      <c r="AZ113" s="1816" t="s">
        <v>1828</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1833</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1856</v>
      </c>
    </row>
    <row r="115" spans="52:60" ht="22.5" customHeight="1">
      <c r="AZ115" s="1816" t="s">
        <v>1838</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1221</v>
      </c>
    </row>
    <row r="116" spans="52:60" ht="11.25" customHeight="1">
      <c r="AZ116" s="1816" t="s">
        <v>1840</v>
      </c>
      <c r="BA116" s="1817" t="s">
        <v>1841</v>
      </c>
      <c r="BH116" s="989" t="s">
        <v>448</v>
      </c>
    </row>
    <row r="117" spans="52:60" ht="11.25" customHeight="1">
      <c r="BH117" s="989" t="s">
        <v>1279</v>
      </c>
    </row>
    <row r="118" spans="52:60" ht="11.25" customHeight="1">
      <c r="BH118" s="989" t="s">
        <v>1312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538" hidden="1" customWidth="1"/>
    <col min="3" max="3" width="3" style="2541" customWidth="1"/>
    <col min="4" max="4" width="6" style="2542" customWidth="1"/>
    <col min="5" max="5" width="52" style="2541" customWidth="1"/>
    <col min="6" max="6" width="48" style="2541" customWidth="1"/>
    <col min="7" max="7" width="93" style="2541" customWidth="1"/>
    <col min="8" max="8" width="8" style="2541" customWidth="1"/>
    <col min="9" max="9" width="64" style="2541" customWidth="1"/>
    <col min="10" max="10" width="9.140625" style="2541" hidden="1"/>
  </cols>
  <sheetData>
    <row r="1" spans="1:10" ht="11.25" hidden="1" customHeight="1">
      <c r="A1" s="436" t="s">
        <v>301</v>
      </c>
      <c r="J1" s="390" t="s">
        <v>14</v>
      </c>
    </row>
    <row r="2" spans="1:10" ht="22.5" hidden="1" customHeight="1">
      <c r="A2" s="437"/>
      <c r="B2" s="437"/>
      <c r="C2" s="1647" t="s">
        <v>427</v>
      </c>
      <c r="D2" s="1438"/>
      <c r="E2" s="1444"/>
      <c r="F2" s="1467"/>
      <c r="H2" s="410"/>
      <c r="J2" s="390">
        <v>0</v>
      </c>
    </row>
    <row r="3" spans="1:10" ht="11.25" hidden="1" customHeight="1">
      <c r="J3" s="390">
        <v>0</v>
      </c>
    </row>
    <row r="4" spans="1:10" ht="11.45" customHeight="1">
      <c r="A4" s="1468"/>
      <c r="B4" s="1468"/>
      <c r="J4" s="390">
        <v>11</v>
      </c>
    </row>
    <row r="5" spans="1:10" ht="27.4" customHeight="1">
      <c r="D5" s="263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632"/>
      <c r="F5" s="2633"/>
      <c r="I5" s="650"/>
      <c r="J5" s="390">
        <v>26</v>
      </c>
    </row>
    <row r="6" spans="1:10" ht="18" customHeight="1">
      <c r="D6" s="2696" t="str">
        <f>IF(region_name=0,"Не определено",region_name)</f>
        <v>Ямало-Ненецкий автономный округ</v>
      </c>
      <c r="E6" s="2696"/>
      <c r="F6" s="2696"/>
      <c r="I6" s="650"/>
      <c r="J6" s="390">
        <v>17</v>
      </c>
    </row>
    <row r="7" spans="1:10" s="2537" customFormat="1" ht="11.45" customHeight="1">
      <c r="A7" s="436"/>
      <c r="B7" s="436"/>
      <c r="D7" s="649"/>
      <c r="E7" s="649"/>
      <c r="F7" s="687"/>
      <c r="G7" s="649"/>
      <c r="J7" s="412">
        <v>11</v>
      </c>
    </row>
    <row r="8" spans="1:10" ht="11.25" hidden="1" customHeight="1">
      <c r="A8" s="437"/>
      <c r="B8" s="437"/>
      <c r="C8" s="392"/>
      <c r="D8" s="398"/>
      <c r="E8" s="2722"/>
      <c r="F8" s="2722"/>
      <c r="J8" s="390">
        <v>0</v>
      </c>
    </row>
    <row r="9" spans="1:10" ht="11.45" customHeight="1">
      <c r="A9" s="437"/>
      <c r="B9" s="437"/>
      <c r="C9" s="392"/>
      <c r="D9" s="2719" t="s">
        <v>302</v>
      </c>
      <c r="E9" s="2720"/>
      <c r="F9" s="2720"/>
      <c r="G9" s="2723" t="s">
        <v>303</v>
      </c>
      <c r="J9" s="390">
        <v>11</v>
      </c>
    </row>
    <row r="10" spans="1:10" ht="11.45" customHeight="1">
      <c r="A10" s="437"/>
      <c r="B10" s="437"/>
      <c r="C10" s="392"/>
      <c r="D10" s="1392" t="s">
        <v>87</v>
      </c>
      <c r="E10" s="1394" t="s">
        <v>304</v>
      </c>
      <c r="F10" s="1394" t="s">
        <v>305</v>
      </c>
      <c r="G10" s="2724"/>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ООО "Ноябрьская ПГЭ"</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1857</v>
      </c>
      <c r="F13" s="1439" t="s">
        <v>308</v>
      </c>
      <c r="G13" s="409"/>
      <c r="H13" s="1451"/>
      <c r="J13" s="390">
        <v>19</v>
      </c>
    </row>
    <row r="14" spans="1:10" ht="19.899999999999999" customHeight="1">
      <c r="A14" s="437"/>
      <c r="B14" s="437"/>
      <c r="C14" s="392"/>
      <c r="D14" s="1441" t="s">
        <v>710</v>
      </c>
      <c r="E14" s="1442" t="s">
        <v>1858</v>
      </c>
      <c r="F14" s="1444"/>
      <c r="G14" s="1443" t="s">
        <v>1859</v>
      </c>
      <c r="H14" s="1451"/>
      <c r="J14" s="390">
        <v>19</v>
      </c>
    </row>
    <row r="15" spans="1:10" ht="19.899999999999999" customHeight="1">
      <c r="A15" s="437"/>
      <c r="B15" s="437"/>
      <c r="C15" s="392"/>
      <c r="D15" s="1441" t="s">
        <v>309</v>
      </c>
      <c r="E15" s="1442" t="s">
        <v>1860</v>
      </c>
      <c r="F15" s="1444"/>
      <c r="G15" s="1443" t="s">
        <v>1861</v>
      </c>
      <c r="H15" s="1451"/>
      <c r="J15" s="390">
        <v>19</v>
      </c>
    </row>
    <row r="16" spans="1:10" ht="24" customHeight="1">
      <c r="A16" s="437"/>
      <c r="B16" s="437"/>
      <c r="C16" s="392"/>
      <c r="D16" s="1441" t="s">
        <v>312</v>
      </c>
      <c r="E16" s="1440" t="s">
        <v>1862</v>
      </c>
      <c r="F16" s="1449"/>
      <c r="G16" s="409" t="s">
        <v>1863</v>
      </c>
      <c r="H16" s="1451"/>
      <c r="J16" s="390">
        <v>23</v>
      </c>
    </row>
    <row r="17" spans="1:10" ht="48.2" customHeight="1">
      <c r="A17" s="437"/>
      <c r="B17" s="437"/>
      <c r="C17" s="392"/>
      <c r="D17" s="1438">
        <v>3</v>
      </c>
      <c r="E17" s="1445" t="s">
        <v>1864</v>
      </c>
      <c r="F17" s="1444"/>
      <c r="G17" s="409" t="s">
        <v>1865</v>
      </c>
      <c r="H17" s="1451"/>
      <c r="J17" s="390">
        <v>46</v>
      </c>
    </row>
    <row r="18" spans="1:10" ht="48.2" customHeight="1">
      <c r="A18" s="1393">
        <v>1</v>
      </c>
      <c r="B18" s="437"/>
      <c r="C18" s="1395"/>
      <c r="D18" s="1438" t="s">
        <v>90</v>
      </c>
      <c r="E18" s="1445" t="s">
        <v>1866</v>
      </c>
      <c r="F18" s="1444"/>
      <c r="G18" s="409" t="s">
        <v>1865</v>
      </c>
      <c r="H18" s="1451"/>
      <c r="I18" s="777"/>
      <c r="J18" s="390">
        <v>46</v>
      </c>
    </row>
    <row r="19" spans="1:10" ht="23.25" customHeight="1">
      <c r="A19" s="437"/>
      <c r="B19" s="437"/>
      <c r="C19" s="392"/>
      <c r="D19" s="1438" t="s">
        <v>110</v>
      </c>
      <c r="E19" s="1445" t="s">
        <v>1867</v>
      </c>
      <c r="F19" s="1439" t="s">
        <v>308</v>
      </c>
      <c r="G19" s="2930" t="s">
        <v>1868</v>
      </c>
      <c r="H19" s="410"/>
      <c r="J19" s="390">
        <v>22</v>
      </c>
    </row>
    <row r="20" spans="1:10" s="2574" customFormat="1" ht="5.25" hidden="1" customHeight="1">
      <c r="A20" s="437"/>
      <c r="B20" s="437"/>
      <c r="C20" s="1447"/>
      <c r="D20" s="1446" t="s">
        <v>1117</v>
      </c>
      <c r="E20" s="936"/>
      <c r="F20" s="935"/>
      <c r="G20" s="2931"/>
      <c r="J20" s="1448">
        <v>0</v>
      </c>
    </row>
    <row r="21" spans="1:10" ht="15.75" customHeight="1">
      <c r="A21" s="437"/>
      <c r="B21" s="437"/>
      <c r="C21" s="392"/>
      <c r="D21" s="402"/>
      <c r="E21" s="350" t="s">
        <v>341</v>
      </c>
      <c r="F21" s="404"/>
      <c r="G21" s="2932"/>
      <c r="H21" s="1451"/>
      <c r="J21" s="390">
        <v>15</v>
      </c>
    </row>
    <row r="22" spans="1:10" s="2538" customFormat="1" ht="26.25" customHeight="1">
      <c r="A22" s="437"/>
      <c r="B22" s="437"/>
      <c r="C22" s="437"/>
      <c r="D22" s="1438" t="s">
        <v>91</v>
      </c>
      <c r="E22" s="409" t="s">
        <v>1869</v>
      </c>
      <c r="F22" s="1444"/>
      <c r="G22" s="409" t="s">
        <v>1870</v>
      </c>
      <c r="H22" s="1450"/>
      <c r="J22" s="436">
        <v>25</v>
      </c>
    </row>
    <row r="23" spans="1:10" s="2538" customFormat="1" ht="19.899999999999999" customHeight="1">
      <c r="A23" s="437"/>
      <c r="B23" s="437"/>
      <c r="C23" s="437"/>
      <c r="D23" s="1438" t="s">
        <v>92</v>
      </c>
      <c r="E23" s="1445" t="s">
        <v>1871</v>
      </c>
      <c r="F23" s="1449"/>
      <c r="G23" s="409" t="s">
        <v>1872</v>
      </c>
      <c r="H23" s="1450"/>
      <c r="J23" s="436">
        <v>19</v>
      </c>
    </row>
    <row r="24" spans="1:10" s="2538" customFormat="1" ht="144" hidden="1" customHeight="1">
      <c r="A24" s="437"/>
      <c r="B24" s="437"/>
      <c r="C24" s="437"/>
      <c r="D24" s="1438" t="s">
        <v>111</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81</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513" hidden="1"/>
    <col min="2" max="2" width="9.140625" style="2519" hidden="1"/>
    <col min="3" max="3" width="3.7109375" style="2513" hidden="1" customWidth="1"/>
    <col min="4" max="4" width="3" style="2525" customWidth="1"/>
    <col min="5" max="5" width="6" style="2513" customWidth="1"/>
    <col min="6" max="6" width="46" style="2513" customWidth="1"/>
    <col min="7" max="8" width="16" style="2513" customWidth="1"/>
    <col min="9" max="9" width="35" style="2513" customWidth="1"/>
    <col min="10" max="10" width="89" style="2513" customWidth="1"/>
    <col min="11" max="11" width="3" style="2526" customWidth="1"/>
    <col min="12" max="14" width="8" style="2526" customWidth="1"/>
    <col min="15" max="15" width="25" style="2526" customWidth="1"/>
    <col min="16" max="16" width="14" style="2526" customWidth="1"/>
    <col min="17" max="20" width="8" style="2527" customWidth="1"/>
    <col min="21" max="254" width="8" style="2513" customWidth="1"/>
    <col min="255" max="255" width="9.140625" style="2513" hidden="1"/>
  </cols>
  <sheetData>
    <row r="1" spans="1:255" ht="22.5" hidden="1" customHeight="1">
      <c r="F1" s="1549" t="s">
        <v>1873</v>
      </c>
      <c r="G1" s="1549" t="s">
        <v>48</v>
      </c>
      <c r="H1" s="1549" t="s">
        <v>50</v>
      </c>
      <c r="IU1" s="1073" t="s">
        <v>14</v>
      </c>
    </row>
    <row r="2" spans="1:255" s="2523" customFormat="1" ht="22.5" hidden="1" customHeight="1">
      <c r="A2" s="760"/>
      <c r="B2" s="1078">
        <v>1</v>
      </c>
      <c r="C2" s="1078"/>
      <c r="D2" s="1840" t="s">
        <v>427</v>
      </c>
      <c r="E2" s="1402"/>
      <c r="F2" s="1409"/>
      <c r="G2" s="1409"/>
      <c r="H2" s="1409"/>
      <c r="I2" s="1896"/>
      <c r="J2" s="1897"/>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520" customFormat="1" ht="4.1500000000000004" customHeight="1">
      <c r="A3" s="431"/>
      <c r="D3" s="429"/>
      <c r="F3" s="183" t="s">
        <v>82</v>
      </c>
      <c r="G3" s="429" t="s">
        <v>83</v>
      </c>
      <c r="H3" s="429"/>
      <c r="I3" s="429"/>
      <c r="J3" s="163" t="s">
        <v>84</v>
      </c>
      <c r="K3" s="183" t="s">
        <v>82</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522"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522" customFormat="1" ht="27.4" customHeight="1">
      <c r="A5" s="1073"/>
      <c r="B5" s="1078"/>
      <c r="C5" s="1073"/>
      <c r="D5" s="1413"/>
      <c r="E5" s="261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614"/>
      <c r="G5" s="2614"/>
      <c r="H5" s="2614"/>
      <c r="I5" s="2614"/>
      <c r="J5" s="2614"/>
      <c r="K5" s="183"/>
      <c r="L5" s="435"/>
      <c r="M5" s="435"/>
      <c r="N5" s="435"/>
      <c r="O5" s="162"/>
      <c r="P5" s="435"/>
      <c r="Q5" s="161"/>
      <c r="R5" s="161"/>
      <c r="S5" s="161"/>
      <c r="T5" s="161"/>
      <c r="IU5" s="442">
        <v>26</v>
      </c>
    </row>
    <row r="6" spans="1:255" s="2522"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522" customFormat="1" ht="14.65" customHeight="1">
      <c r="A7" s="1073"/>
      <c r="B7" s="1078"/>
      <c r="C7" s="1073"/>
      <c r="D7" s="1413"/>
      <c r="E7" s="2610" t="s">
        <v>302</v>
      </c>
      <c r="F7" s="2615"/>
      <c r="G7" s="2615"/>
      <c r="H7" s="2615"/>
      <c r="I7" s="2615"/>
      <c r="J7" s="2933" t="s">
        <v>303</v>
      </c>
      <c r="K7" s="435"/>
      <c r="L7" s="435"/>
      <c r="M7" s="435"/>
      <c r="N7" s="435"/>
      <c r="O7" s="162"/>
      <c r="P7" s="435"/>
      <c r="Q7" s="161"/>
      <c r="R7" s="161"/>
      <c r="S7" s="161"/>
      <c r="T7" s="161"/>
      <c r="IU7" s="442">
        <v>14</v>
      </c>
    </row>
    <row r="8" spans="1:255" s="2522" customFormat="1" ht="21" customHeight="1">
      <c r="A8" s="1073"/>
      <c r="B8" s="1078"/>
      <c r="C8" s="1073"/>
      <c r="D8" s="1413"/>
      <c r="E8" s="1466" t="s">
        <v>87</v>
      </c>
      <c r="F8" s="1458" t="s">
        <v>1873</v>
      </c>
      <c r="G8" s="1458" t="s">
        <v>48</v>
      </c>
      <c r="H8" s="1458" t="s">
        <v>50</v>
      </c>
      <c r="I8" s="1458" t="s">
        <v>1874</v>
      </c>
      <c r="J8" s="2934"/>
      <c r="K8" s="435"/>
      <c r="L8" s="435"/>
      <c r="M8" s="435"/>
      <c r="N8" s="435"/>
      <c r="O8" s="162"/>
      <c r="P8" s="435"/>
      <c r="Q8" s="161"/>
      <c r="R8" s="161"/>
      <c r="S8" s="161"/>
      <c r="T8" s="161"/>
      <c r="IU8" s="442">
        <v>20</v>
      </c>
    </row>
    <row r="9" spans="1:255" s="2523" customFormat="1" ht="23.25" customHeight="1">
      <c r="A9" s="1549"/>
      <c r="B9" s="1078">
        <v>1</v>
      </c>
      <c r="C9" s="1078"/>
      <c r="D9" s="730"/>
      <c r="E9" s="1402">
        <v>1</v>
      </c>
      <c r="F9" s="1465"/>
      <c r="G9" s="1409"/>
      <c r="H9" s="1409"/>
      <c r="I9" s="1456"/>
      <c r="J9" s="269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523" customFormat="1" ht="15.75" customHeight="1">
      <c r="A10" s="1549"/>
      <c r="B10" s="1078"/>
      <c r="C10" s="347"/>
      <c r="D10" s="730"/>
      <c r="E10" s="1459"/>
      <c r="F10" s="1418" t="s">
        <v>1875</v>
      </c>
      <c r="G10" s="1460"/>
      <c r="H10" s="1460"/>
      <c r="I10" s="1814"/>
      <c r="J10" s="2694"/>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522"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522"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522"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524" customFormat="1" ht="10.5" customHeight="1">
      <c r="B14" s="763"/>
      <c r="D14" s="118"/>
      <c r="K14" s="435"/>
      <c r="L14" s="435"/>
      <c r="M14" s="435"/>
      <c r="N14" s="435"/>
      <c r="O14" s="162"/>
      <c r="P14" s="435"/>
      <c r="Q14" s="161"/>
      <c r="R14" s="161"/>
      <c r="S14" s="161"/>
      <c r="T14" s="161"/>
      <c r="IU14" s="117">
        <v>10</v>
      </c>
    </row>
    <row r="15" spans="1:255" s="2524"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81</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513" hidden="1"/>
    <col min="2" max="2" width="9.140625" style="2519" hidden="1"/>
    <col min="3" max="3" width="3.7109375" style="2513" hidden="1" customWidth="1"/>
    <col min="4" max="4" width="3" style="2525" customWidth="1"/>
    <col min="5" max="5" width="6" style="2513" customWidth="1"/>
    <col min="6" max="6" width="27" style="2513" customWidth="1"/>
    <col min="7" max="7" width="16" style="2513" customWidth="1"/>
    <col min="8" max="8" width="12" style="2513" customWidth="1"/>
    <col min="9" max="9" width="32" style="2513" customWidth="1"/>
    <col min="10" max="11" width="41" style="2513" customWidth="1"/>
    <col min="12" max="12" width="89" style="2513" customWidth="1"/>
    <col min="13" max="13" width="3" style="2526" customWidth="1"/>
    <col min="14" max="16" width="8" style="2526" customWidth="1"/>
    <col min="17" max="17" width="25" style="2526" customWidth="1"/>
    <col min="18" max="18" width="14" style="2526" customWidth="1"/>
    <col min="19" max="22" width="8" style="2527" customWidth="1"/>
    <col min="23" max="256" width="8" style="2513" customWidth="1"/>
    <col min="257" max="257" width="9.140625" style="2513" hidden="1"/>
  </cols>
  <sheetData>
    <row r="1" spans="1:257" ht="22.5" hidden="1" customHeight="1">
      <c r="IW1" s="1073" t="s">
        <v>14</v>
      </c>
    </row>
    <row r="2" spans="1:257" s="2523" customFormat="1" ht="22.5" hidden="1" customHeight="1">
      <c r="A2" s="760"/>
      <c r="B2" s="1078">
        <v>1</v>
      </c>
      <c r="C2" s="1078"/>
      <c r="D2" s="1840" t="s">
        <v>427</v>
      </c>
      <c r="E2" s="1804"/>
      <c r="F2" s="1807" t="str">
        <f>IF(ROIV_INFO_NAME="","",ROIV_INFO_NAME)</f>
        <v>ООО "Ноябрьская ПГЭ"</v>
      </c>
      <c r="G2" s="1832" t="s">
        <v>28</v>
      </c>
      <c r="H2" s="1831"/>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520" customFormat="1" ht="5.25" hidden="1" customHeight="1">
      <c r="A3" s="431"/>
      <c r="D3" s="429"/>
      <c r="F3" s="183" t="s">
        <v>82</v>
      </c>
      <c r="G3" s="1652" t="s">
        <v>83</v>
      </c>
      <c r="H3" s="429"/>
      <c r="I3" s="429"/>
      <c r="J3" s="429"/>
      <c r="K3" s="429"/>
      <c r="L3" s="163" t="s">
        <v>84</v>
      </c>
      <c r="M3" s="183" t="s">
        <v>82</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522"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522" customFormat="1" ht="27.4" customHeight="1">
      <c r="A5" s="1073"/>
      <c r="B5" s="1078"/>
      <c r="C5" s="1073"/>
      <c r="D5" s="1413"/>
      <c r="E5" s="261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614"/>
      <c r="G5" s="2614"/>
      <c r="H5" s="2614"/>
      <c r="I5" s="2614"/>
      <c r="J5" s="2614"/>
      <c r="K5" s="2614"/>
      <c r="L5" s="523"/>
      <c r="M5" s="183"/>
      <c r="N5" s="435"/>
      <c r="O5" s="435"/>
      <c r="P5" s="435"/>
      <c r="Q5" s="162"/>
      <c r="R5" s="435"/>
      <c r="S5" s="161"/>
      <c r="T5" s="161"/>
      <c r="U5" s="161"/>
      <c r="V5" s="161"/>
      <c r="IW5" s="442">
        <v>26</v>
      </c>
    </row>
    <row r="6" spans="1:257" s="2522"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522" customFormat="1" ht="14.65" customHeight="1">
      <c r="A7" s="1073"/>
      <c r="B7" s="1078"/>
      <c r="C7" s="1073"/>
      <c r="D7" s="1413"/>
      <c r="E7" s="2610" t="s">
        <v>302</v>
      </c>
      <c r="F7" s="2615"/>
      <c r="G7" s="2615"/>
      <c r="H7" s="2615"/>
      <c r="I7" s="2615"/>
      <c r="J7" s="2615"/>
      <c r="K7" s="2615"/>
      <c r="L7" s="2933" t="s">
        <v>303</v>
      </c>
      <c r="M7" s="435"/>
      <c r="N7" s="435"/>
      <c r="O7" s="435"/>
      <c r="P7" s="435"/>
      <c r="Q7" s="162"/>
      <c r="R7" s="435"/>
      <c r="S7" s="161"/>
      <c r="T7" s="161"/>
      <c r="U7" s="161"/>
      <c r="V7" s="161"/>
      <c r="IW7" s="442">
        <v>14</v>
      </c>
    </row>
    <row r="8" spans="1:257" s="2522" customFormat="1" ht="67.150000000000006" customHeight="1">
      <c r="A8" s="1073"/>
      <c r="B8" s="1078"/>
      <c r="C8" s="1073"/>
      <c r="D8" s="1413"/>
      <c r="E8" s="2937" t="s">
        <v>87</v>
      </c>
      <c r="F8" s="293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93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940"/>
      <c r="I8" s="2941"/>
      <c r="J8" s="293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93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35"/>
      <c r="M8" s="435"/>
      <c r="N8" s="435"/>
      <c r="O8" s="435"/>
      <c r="P8" s="435"/>
      <c r="Q8" s="162"/>
      <c r="R8" s="435"/>
      <c r="S8" s="161"/>
      <c r="T8" s="161"/>
      <c r="U8" s="161"/>
      <c r="V8" s="161"/>
      <c r="IW8" s="442">
        <v>64</v>
      </c>
    </row>
    <row r="9" spans="1:257" s="2522" customFormat="1" ht="29.25" customHeight="1">
      <c r="A9" s="1073"/>
      <c r="B9" s="1078"/>
      <c r="C9" s="1073"/>
      <c r="D9" s="1413"/>
      <c r="E9" s="2938"/>
      <c r="F9" s="2938"/>
      <c r="G9" s="1455" t="s">
        <v>1876</v>
      </c>
      <c r="H9" s="1455" t="s">
        <v>1877</v>
      </c>
      <c r="I9" s="1455" t="s">
        <v>1878</v>
      </c>
      <c r="J9" s="2938"/>
      <c r="K9" s="2938"/>
      <c r="L9" s="2934"/>
      <c r="M9" s="435"/>
      <c r="N9" s="435"/>
      <c r="O9" s="435"/>
      <c r="P9" s="435"/>
      <c r="Q9" s="162"/>
      <c r="R9" s="435"/>
      <c r="S9" s="161"/>
      <c r="T9" s="161"/>
      <c r="U9" s="161"/>
      <c r="V9" s="161"/>
      <c r="IW9" s="442">
        <v>28</v>
      </c>
    </row>
    <row r="10" spans="1:257" s="2523" customFormat="1" ht="23.25" customHeight="1">
      <c r="A10" s="2613"/>
      <c r="B10" s="1078">
        <v>1</v>
      </c>
      <c r="C10" s="1078"/>
      <c r="D10" s="729"/>
      <c r="E10" s="727">
        <v>1</v>
      </c>
      <c r="F10" s="1457" t="str">
        <f>IF(ROIV_INFO_NAME="","",ROIV_INFO_NAME)</f>
        <v>ООО "Ноябрьская ПГЭ"</v>
      </c>
      <c r="G10" s="1649" t="s">
        <v>28</v>
      </c>
      <c r="H10" s="1831"/>
      <c r="I10" s="1452"/>
      <c r="J10" s="747"/>
      <c r="K10" s="747"/>
      <c r="L10" s="289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523" customFormat="1" ht="15.75" customHeight="1">
      <c r="A11" s="2613"/>
      <c r="B11" s="1078"/>
      <c r="C11" s="347"/>
      <c r="D11" s="730"/>
      <c r="E11" s="356"/>
      <c r="F11" s="351" t="s">
        <v>1879</v>
      </c>
      <c r="G11" s="123"/>
      <c r="H11" s="123"/>
      <c r="I11" s="123"/>
      <c r="J11" s="123"/>
      <c r="K11" s="359"/>
      <c r="L11" s="2936"/>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522"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522"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522"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81</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513" hidden="1"/>
    <col min="2" max="2" width="9.140625" style="2519" hidden="1"/>
    <col min="3" max="3" width="3.7109375" style="2513" hidden="1" customWidth="1"/>
    <col min="4" max="4" width="3" style="2525" customWidth="1"/>
    <col min="5" max="5" width="6" style="2513" customWidth="1"/>
    <col min="6" max="6" width="27" style="2513" customWidth="1"/>
    <col min="7" max="7" width="16" style="2513" customWidth="1"/>
    <col min="8" max="8" width="12" style="2513" customWidth="1"/>
    <col min="9" max="9" width="32" style="2513" customWidth="1"/>
    <col min="10" max="11" width="41" style="2513" customWidth="1"/>
    <col min="12" max="12" width="89" style="2513" customWidth="1"/>
    <col min="13" max="13" width="3" style="2526" customWidth="1"/>
    <col min="14" max="16" width="8" style="2526" customWidth="1"/>
    <col min="17" max="17" width="25" style="2526" customWidth="1"/>
    <col min="18" max="18" width="14" style="2526" customWidth="1"/>
    <col min="19" max="22" width="8" style="2527" customWidth="1"/>
    <col min="23" max="256" width="8" style="2513" customWidth="1"/>
    <col min="257" max="257" width="9.140625" style="2513" hidden="1"/>
  </cols>
  <sheetData>
    <row r="1" spans="1:257" ht="22.5" hidden="1" customHeight="1">
      <c r="IW1" s="1549" t="s">
        <v>14</v>
      </c>
    </row>
    <row r="2" spans="1:257" s="2523" customFormat="1" ht="22.5" hidden="1" customHeight="1">
      <c r="A2" s="760"/>
      <c r="B2" s="1284">
        <v>1</v>
      </c>
      <c r="C2" s="1284"/>
      <c r="D2" s="1840" t="s">
        <v>427</v>
      </c>
      <c r="E2" s="1819"/>
      <c r="F2" s="1821" t="str">
        <f>IF(ROIV_INFO_NAME="","",ROIV_INFO_NAME)</f>
        <v>ООО "Ноябрьская ПГЭ"</v>
      </c>
      <c r="G2" s="1649" t="s">
        <v>28</v>
      </c>
      <c r="H2" s="1831"/>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520" customFormat="1" ht="5.25" hidden="1" customHeight="1">
      <c r="A3" s="1559"/>
      <c r="D3" s="1808"/>
      <c r="F3" s="184" t="s">
        <v>82</v>
      </c>
      <c r="G3" s="1652" t="s">
        <v>83</v>
      </c>
      <c r="H3" s="1808"/>
      <c r="I3" s="1808"/>
      <c r="J3" s="1808"/>
      <c r="K3" s="1808"/>
      <c r="L3" s="163" t="s">
        <v>84</v>
      </c>
      <c r="M3" s="184" t="s">
        <v>82</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522" customFormat="1" ht="14.65" customHeight="1">
      <c r="A4" s="1549"/>
      <c r="B4" s="1284"/>
      <c r="C4" s="1549"/>
      <c r="D4" s="1433"/>
      <c r="E4" s="1553"/>
      <c r="F4" s="1553"/>
      <c r="G4" s="1553"/>
      <c r="H4" s="1553"/>
      <c r="I4" s="1553"/>
      <c r="J4" s="1553"/>
      <c r="K4" s="1553"/>
      <c r="L4" s="1810"/>
      <c r="M4" s="184"/>
      <c r="N4" s="1542"/>
      <c r="O4" s="1542"/>
      <c r="P4" s="1542"/>
      <c r="Q4" s="1542"/>
      <c r="R4" s="1542"/>
      <c r="S4" s="161"/>
      <c r="T4" s="161"/>
      <c r="U4" s="161"/>
      <c r="V4" s="161"/>
      <c r="IW4" s="1527">
        <v>14</v>
      </c>
    </row>
    <row r="5" spans="1:257" s="2522" customFormat="1" ht="27.4" customHeight="1">
      <c r="A5" s="1549"/>
      <c r="B5" s="1284"/>
      <c r="C5" s="1549"/>
      <c r="D5" s="1433"/>
      <c r="E5" s="261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614"/>
      <c r="G5" s="2614"/>
      <c r="H5" s="2614"/>
      <c r="I5" s="2614"/>
      <c r="J5" s="2614"/>
      <c r="K5" s="2614"/>
      <c r="L5" s="1553"/>
      <c r="M5" s="184"/>
      <c r="N5" s="1542"/>
      <c r="O5" s="1542"/>
      <c r="P5" s="1542"/>
      <c r="Q5" s="1542"/>
      <c r="R5" s="1542"/>
      <c r="S5" s="161"/>
      <c r="T5" s="161"/>
      <c r="U5" s="161"/>
      <c r="V5" s="161"/>
      <c r="IW5" s="1527">
        <v>26</v>
      </c>
    </row>
    <row r="6" spans="1:257" s="2522"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522" customFormat="1" ht="14.65" customHeight="1">
      <c r="A7" s="1549"/>
      <c r="B7" s="1284"/>
      <c r="C7" s="1549"/>
      <c r="D7" s="1433"/>
      <c r="E7" s="2610" t="s">
        <v>302</v>
      </c>
      <c r="F7" s="2615"/>
      <c r="G7" s="2615"/>
      <c r="H7" s="2615"/>
      <c r="I7" s="2615"/>
      <c r="J7" s="2615"/>
      <c r="K7" s="2615"/>
      <c r="L7" s="2933" t="s">
        <v>303</v>
      </c>
      <c r="M7" s="1542"/>
      <c r="N7" s="1542"/>
      <c r="O7" s="1542"/>
      <c r="P7" s="1542"/>
      <c r="Q7" s="1542"/>
      <c r="R7" s="1542"/>
      <c r="S7" s="161"/>
      <c r="T7" s="161"/>
      <c r="U7" s="161"/>
      <c r="V7" s="161"/>
      <c r="IW7" s="1527">
        <v>14</v>
      </c>
    </row>
    <row r="8" spans="1:257" s="2522" customFormat="1" ht="67.150000000000006" customHeight="1">
      <c r="A8" s="1549"/>
      <c r="B8" s="1284"/>
      <c r="C8" s="1549"/>
      <c r="D8" s="1433"/>
      <c r="E8" s="2937" t="s">
        <v>87</v>
      </c>
      <c r="F8" s="2937" t="s">
        <v>1880</v>
      </c>
      <c r="G8" s="2939" t="s">
        <v>1881</v>
      </c>
      <c r="H8" s="2940"/>
      <c r="I8" s="2941"/>
      <c r="J8" s="2937" t="s">
        <v>1882</v>
      </c>
      <c r="K8" s="293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35"/>
      <c r="M8" s="1542"/>
      <c r="N8" s="1542"/>
      <c r="O8" s="1542"/>
      <c r="P8" s="1542"/>
      <c r="Q8" s="1542"/>
      <c r="R8" s="1542"/>
      <c r="S8" s="161"/>
      <c r="T8" s="161"/>
      <c r="U8" s="161"/>
      <c r="V8" s="161"/>
      <c r="IW8" s="1527">
        <v>64</v>
      </c>
    </row>
    <row r="9" spans="1:257" s="2522" customFormat="1" ht="29.25" customHeight="1">
      <c r="A9" s="1549"/>
      <c r="B9" s="1284"/>
      <c r="C9" s="1549"/>
      <c r="D9" s="1433"/>
      <c r="E9" s="2938"/>
      <c r="F9" s="2938"/>
      <c r="G9" s="1809" t="s">
        <v>1876</v>
      </c>
      <c r="H9" s="1809" t="s">
        <v>1877</v>
      </c>
      <c r="I9" s="1809" t="s">
        <v>1878</v>
      </c>
      <c r="J9" s="2938"/>
      <c r="K9" s="2938"/>
      <c r="L9" s="2934"/>
      <c r="M9" s="1542"/>
      <c r="N9" s="1542"/>
      <c r="O9" s="1542"/>
      <c r="P9" s="1542"/>
      <c r="Q9" s="1542"/>
      <c r="R9" s="1542"/>
      <c r="S9" s="161"/>
      <c r="T9" s="161"/>
      <c r="U9" s="161"/>
      <c r="V9" s="161"/>
      <c r="IW9" s="1527">
        <v>28</v>
      </c>
    </row>
    <row r="10" spans="1:257" s="2523" customFormat="1" ht="1.1499999999999999" customHeight="1">
      <c r="A10" s="2613"/>
      <c r="B10" s="1284">
        <v>1</v>
      </c>
      <c r="C10" s="1284"/>
      <c r="D10" s="729"/>
      <c r="E10" s="724">
        <v>0</v>
      </c>
      <c r="F10" s="1806" t="str">
        <f>IF(ROIV_INFO_NAME="","",ROIV_INFO_NAME)</f>
        <v>ООО "Ноябрьская ПГЭ"</v>
      </c>
      <c r="G10" s="1650" t="s">
        <v>28</v>
      </c>
      <c r="H10" s="1818"/>
      <c r="I10" s="1818"/>
      <c r="J10" s="454"/>
      <c r="K10" s="454"/>
      <c r="L10" s="289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523" customFormat="1" ht="15.75" customHeight="1">
      <c r="A11" s="2613"/>
      <c r="B11" s="1284"/>
      <c r="C11" s="347"/>
      <c r="D11" s="730"/>
      <c r="E11" s="356"/>
      <c r="F11" s="586" t="s">
        <v>1879</v>
      </c>
      <c r="G11" s="123"/>
      <c r="H11" s="123"/>
      <c r="I11" s="123"/>
      <c r="J11" s="123"/>
      <c r="K11" s="359"/>
      <c r="L11" s="2936"/>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522"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522"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522"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81</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513" hidden="1"/>
    <col min="2" max="2" width="9.140625" style="2519" hidden="1"/>
    <col min="3" max="3" width="3.7109375" style="2513" hidden="1" customWidth="1"/>
    <col min="4" max="4" width="3" style="2525" customWidth="1"/>
    <col min="5" max="5" width="6" style="2513" customWidth="1"/>
    <col min="6" max="6" width="27" style="2513" customWidth="1"/>
    <col min="7" max="7" width="29" style="2513" customWidth="1"/>
    <col min="8" max="8" width="25" style="2513" customWidth="1"/>
    <col min="9" max="9" width="5" style="2513" customWidth="1"/>
    <col min="10" max="10" width="6" style="2513" customWidth="1"/>
    <col min="11" max="11" width="41" style="2513" customWidth="1"/>
    <col min="12" max="12" width="42" style="2513" customWidth="1"/>
    <col min="13" max="13" width="41" style="2513" customWidth="1"/>
    <col min="14" max="14" width="89" style="2513" customWidth="1"/>
    <col min="15" max="15" width="3" style="2526" customWidth="1"/>
    <col min="16" max="16" width="8" style="2526" customWidth="1"/>
    <col min="17" max="17" width="9.140625" style="2513" hidden="1"/>
  </cols>
  <sheetData>
    <row r="1" spans="1:17" ht="22.5" hidden="1" customHeight="1">
      <c r="Q1" s="1073" t="s">
        <v>14</v>
      </c>
    </row>
    <row r="2" spans="1:17" s="2523" customFormat="1" ht="22.5" hidden="1" customHeight="1">
      <c r="A2" s="431"/>
      <c r="B2" s="1078">
        <v>1</v>
      </c>
      <c r="C2" s="1078"/>
      <c r="D2" s="1840" t="s">
        <v>427</v>
      </c>
      <c r="E2" s="2638">
        <v>1</v>
      </c>
      <c r="F2" s="2801" t="str">
        <f>IF(region_name="","",region_name)</f>
        <v>Ямало-Ненецкий автономный округ</v>
      </c>
      <c r="G2" s="2942"/>
      <c r="H2" s="2943"/>
      <c r="I2" s="409"/>
      <c r="J2" s="1825">
        <v>1</v>
      </c>
      <c r="K2" s="1827"/>
      <c r="L2" s="1827"/>
      <c r="M2" s="1827"/>
      <c r="N2" s="427"/>
      <c r="O2" s="1453"/>
      <c r="P2" s="446"/>
      <c r="Q2" s="358">
        <v>0</v>
      </c>
    </row>
    <row r="3" spans="1:17" s="2523" customFormat="1" ht="22.5" hidden="1" customHeight="1">
      <c r="A3" s="760"/>
      <c r="B3" s="1078"/>
      <c r="C3" s="1078"/>
      <c r="D3" s="730"/>
      <c r="E3" s="2638"/>
      <c r="F3" s="2801"/>
      <c r="G3" s="2942"/>
      <c r="H3" s="2944"/>
      <c r="I3" s="356"/>
      <c r="J3" s="1418"/>
      <c r="K3" s="1418" t="s">
        <v>1883</v>
      </c>
      <c r="L3" s="1461"/>
      <c r="M3" s="1835"/>
      <c r="N3" s="1828"/>
      <c r="O3" s="1453"/>
      <c r="P3" s="446"/>
      <c r="Q3" s="358">
        <v>0</v>
      </c>
    </row>
    <row r="4" spans="1:17" s="2520" customFormat="1" ht="5.25" hidden="1" customHeight="1">
      <c r="A4" s="431"/>
      <c r="D4" s="429"/>
      <c r="F4" s="183" t="s">
        <v>82</v>
      </c>
      <c r="G4" s="429" t="s">
        <v>83</v>
      </c>
      <c r="H4" s="429"/>
      <c r="I4" s="1838"/>
      <c r="J4" s="1462"/>
      <c r="K4" s="1826"/>
      <c r="L4" s="1826"/>
      <c r="M4" s="1826"/>
      <c r="N4" s="1822"/>
      <c r="O4" s="183" t="s">
        <v>82</v>
      </c>
      <c r="P4" s="183"/>
      <c r="Q4" s="446">
        <v>0</v>
      </c>
    </row>
    <row r="5" spans="1:17" s="2523" customFormat="1" ht="22.5" hidden="1" customHeight="1">
      <c r="A5" s="1559"/>
      <c r="B5" s="1284">
        <v>1</v>
      </c>
      <c r="C5" s="1284"/>
      <c r="D5" s="730"/>
      <c r="E5" s="1828"/>
      <c r="F5" s="1828"/>
      <c r="G5" s="1828"/>
      <c r="H5" s="1839"/>
      <c r="I5" s="1841" t="s">
        <v>427</v>
      </c>
      <c r="J5" s="1837">
        <v>1</v>
      </c>
      <c r="K5" s="1827"/>
      <c r="L5" s="1827"/>
      <c r="M5" s="1827"/>
      <c r="N5" s="427"/>
      <c r="O5" s="1453"/>
      <c r="P5" s="1554"/>
      <c r="Q5" s="559">
        <v>0</v>
      </c>
    </row>
    <row r="6" spans="1:17" s="2522" customFormat="1" ht="14.65" customHeight="1">
      <c r="A6" s="1073"/>
      <c r="B6" s="1078"/>
      <c r="C6" s="1073"/>
      <c r="D6" s="1413"/>
      <c r="E6" s="444"/>
      <c r="F6" s="444"/>
      <c r="G6" s="444"/>
      <c r="H6" s="444"/>
      <c r="I6" s="444"/>
      <c r="J6" s="444"/>
      <c r="K6" s="444"/>
      <c r="L6" s="444"/>
      <c r="M6" s="444"/>
      <c r="N6" s="1553"/>
      <c r="O6" s="183"/>
      <c r="P6" s="435"/>
      <c r="Q6" s="442">
        <v>14</v>
      </c>
    </row>
    <row r="7" spans="1:17" s="2522" customFormat="1" ht="27.4" customHeight="1">
      <c r="A7" s="1073"/>
      <c r="B7" s="1078"/>
      <c r="C7" s="1073"/>
      <c r="D7" s="1413"/>
      <c r="E7" s="294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49"/>
      <c r="G7" s="2949"/>
      <c r="H7" s="2949"/>
      <c r="I7" s="2949"/>
      <c r="J7" s="2949"/>
      <c r="K7" s="2949"/>
      <c r="L7" s="2949"/>
      <c r="M7" s="2949"/>
      <c r="N7" s="1170"/>
      <c r="O7" s="183"/>
      <c r="P7" s="435"/>
      <c r="Q7" s="442">
        <v>26</v>
      </c>
    </row>
    <row r="8" spans="1:17" s="2522" customFormat="1" ht="14.65" customHeight="1">
      <c r="A8" s="1073"/>
      <c r="B8" s="1078"/>
      <c r="C8" s="1073"/>
      <c r="D8" s="1413"/>
      <c r="E8" s="444"/>
      <c r="F8" s="103"/>
      <c r="G8" s="103"/>
      <c r="H8" s="103"/>
      <c r="I8" s="103"/>
      <c r="J8" s="103"/>
      <c r="K8" s="103"/>
      <c r="L8" s="103"/>
      <c r="M8" s="103"/>
      <c r="N8" s="551"/>
      <c r="O8" s="435"/>
      <c r="P8" s="435"/>
      <c r="Q8" s="442">
        <v>14</v>
      </c>
    </row>
    <row r="9" spans="1:17" s="2575" customFormat="1" ht="14.25" hidden="1" customHeight="1">
      <c r="A9" s="1386"/>
      <c r="B9" s="1396"/>
      <c r="C9" s="1386"/>
      <c r="D9" s="1413"/>
      <c r="E9" s="1829"/>
      <c r="F9" s="1829"/>
      <c r="G9" s="1829"/>
      <c r="H9" s="1829"/>
      <c r="I9" s="2952"/>
      <c r="J9" s="2952"/>
      <c r="K9" s="2952"/>
      <c r="L9" s="1829"/>
      <c r="M9" s="1830"/>
      <c r="O9" s="1463"/>
      <c r="P9" s="1463"/>
      <c r="Q9" s="1464">
        <v>0</v>
      </c>
    </row>
    <row r="10" spans="1:17" s="2522" customFormat="1" ht="14.65" customHeight="1">
      <c r="A10" s="1073"/>
      <c r="B10" s="1078"/>
      <c r="C10" s="1073"/>
      <c r="D10" s="1413"/>
      <c r="E10" s="2638" t="s">
        <v>302</v>
      </c>
      <c r="F10" s="2638"/>
      <c r="G10" s="2638"/>
      <c r="H10" s="2638"/>
      <c r="I10" s="2638"/>
      <c r="J10" s="2638"/>
      <c r="K10" s="2638"/>
      <c r="L10" s="2638"/>
      <c r="M10" s="2610"/>
      <c r="N10" s="2937" t="s">
        <v>303</v>
      </c>
      <c r="O10" s="435"/>
      <c r="P10" s="435"/>
      <c r="Q10" s="442">
        <v>14</v>
      </c>
    </row>
    <row r="11" spans="1:17" s="2522" customFormat="1" ht="44.25" customHeight="1">
      <c r="A11" s="1549"/>
      <c r="B11" s="1284"/>
      <c r="C11" s="1549"/>
      <c r="D11" s="1433"/>
      <c r="E11" s="2951" t="s">
        <v>87</v>
      </c>
      <c r="F11" s="2951" t="s">
        <v>306</v>
      </c>
      <c r="G11" s="2951" t="s">
        <v>1884</v>
      </c>
      <c r="H11" s="2951"/>
      <c r="I11" s="2951" t="s">
        <v>1885</v>
      </c>
      <c r="J11" s="2951"/>
      <c r="K11" s="2951"/>
      <c r="L11" s="2951" t="s">
        <v>1886</v>
      </c>
      <c r="M11" s="2939" t="s">
        <v>1887</v>
      </c>
      <c r="N11" s="2950"/>
      <c r="O11" s="1542"/>
      <c r="P11" s="1542"/>
      <c r="Q11" s="1527">
        <v>42</v>
      </c>
    </row>
    <row r="12" spans="1:17" s="2522" customFormat="1" ht="29.25" customHeight="1">
      <c r="A12" s="1073"/>
      <c r="B12" s="1078"/>
      <c r="C12" s="1073"/>
      <c r="D12" s="1413"/>
      <c r="E12" s="2937"/>
      <c r="F12" s="2951"/>
      <c r="G12" s="1824" t="s">
        <v>1888</v>
      </c>
      <c r="H12" s="1824" t="s">
        <v>310</v>
      </c>
      <c r="I12" s="2951"/>
      <c r="J12" s="2951"/>
      <c r="K12" s="2951"/>
      <c r="L12" s="2951"/>
      <c r="M12" s="2939"/>
      <c r="N12" s="2938"/>
      <c r="O12" s="435"/>
      <c r="P12" s="435"/>
      <c r="Q12" s="442">
        <v>28</v>
      </c>
    </row>
    <row r="13" spans="1:17" s="2523" customFormat="1" ht="23.25" customHeight="1">
      <c r="A13" s="2613">
        <v>26379339</v>
      </c>
      <c r="B13" s="1078">
        <v>1</v>
      </c>
      <c r="C13" s="1078"/>
      <c r="D13" s="730"/>
      <c r="E13" s="2638">
        <v>1</v>
      </c>
      <c r="F13" s="2945" t="str">
        <f>IF(region_name="","",region_name)</f>
        <v>Ямало-Ненецкий автономный округ</v>
      </c>
      <c r="G13" s="2946"/>
      <c r="H13" s="2953"/>
      <c r="I13" s="409"/>
      <c r="J13" s="1820">
        <v>1</v>
      </c>
      <c r="K13" s="1833"/>
      <c r="L13" s="1834"/>
      <c r="M13" s="1834"/>
      <c r="N13" s="2947" t="s">
        <v>1889</v>
      </c>
      <c r="O13" s="1453"/>
      <c r="P13" s="446"/>
      <c r="Q13" s="358">
        <v>22</v>
      </c>
    </row>
    <row r="14" spans="1:17" s="2523" customFormat="1" ht="23.25" customHeight="1">
      <c r="A14" s="2613"/>
      <c r="B14" s="1078"/>
      <c r="C14" s="1078"/>
      <c r="D14" s="730"/>
      <c r="E14" s="2638"/>
      <c r="F14" s="2945"/>
      <c r="G14" s="2946"/>
      <c r="H14" s="2954"/>
      <c r="I14" s="356"/>
      <c r="J14" s="1418"/>
      <c r="K14" s="1418" t="s">
        <v>1883</v>
      </c>
      <c r="L14" s="1461"/>
      <c r="M14" s="1461"/>
      <c r="N14" s="2948"/>
      <c r="O14" s="1453"/>
      <c r="P14" s="446"/>
      <c r="Q14" s="358">
        <v>22</v>
      </c>
    </row>
    <row r="15" spans="1:17" s="2523" customFormat="1" ht="23.25" customHeight="1">
      <c r="A15" s="2613"/>
      <c r="B15" s="1078"/>
      <c r="C15" s="347"/>
      <c r="D15" s="730"/>
      <c r="E15" s="356"/>
      <c r="F15" s="1418" t="s">
        <v>1875</v>
      </c>
      <c r="G15" s="1460"/>
      <c r="H15" s="1460"/>
      <c r="I15" s="123"/>
      <c r="J15" s="123"/>
      <c r="K15" s="123"/>
      <c r="L15" s="123"/>
      <c r="M15" s="123"/>
      <c r="N15" s="2948"/>
      <c r="O15" s="1454"/>
      <c r="P15" s="446"/>
      <c r="Q15" s="358">
        <v>22</v>
      </c>
    </row>
    <row r="16" spans="1:17" s="2522" customFormat="1" ht="21.95" customHeight="1">
      <c r="A16" s="1073"/>
      <c r="B16" s="1078"/>
      <c r="C16" s="1073"/>
      <c r="D16" s="386"/>
      <c r="E16" s="116"/>
      <c r="F16" s="116"/>
      <c r="G16" s="116"/>
      <c r="H16" s="116"/>
      <c r="I16" s="116"/>
      <c r="J16" s="116"/>
      <c r="K16" s="116"/>
      <c r="L16" s="116"/>
      <c r="M16" s="444"/>
      <c r="N16" s="1553"/>
      <c r="O16" s="435"/>
      <c r="P16" s="435"/>
      <c r="Q16" s="442">
        <v>21</v>
      </c>
    </row>
    <row r="17" spans="1:17" s="2522"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522"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81</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536" hidden="1"/>
    <col min="2" max="2" width="9.140625" style="2566" hidden="1"/>
    <col min="3" max="3" width="3" style="2576" customWidth="1"/>
    <col min="4" max="4" width="6" style="2566" customWidth="1"/>
    <col min="5" max="5" width="22" style="2566" customWidth="1"/>
    <col min="6" max="6" width="15" style="2566" customWidth="1"/>
    <col min="7" max="7" width="14" style="2566" customWidth="1"/>
    <col min="8" max="8" width="47" style="2566" customWidth="1"/>
    <col min="9" max="9" width="115" style="2566" customWidth="1"/>
    <col min="10" max="10" width="3" style="2566" customWidth="1"/>
    <col min="11" max="12" width="8" style="2566" customWidth="1"/>
    <col min="13" max="13" width="9.140625" style="2566"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513" customFormat="1" ht="31.5" customHeight="1">
      <c r="A5" s="54"/>
      <c r="C5" s="29"/>
      <c r="D5" s="2614" t="s">
        <v>1890</v>
      </c>
      <c r="E5" s="2614"/>
      <c r="F5" s="2614"/>
      <c r="G5" s="2614"/>
      <c r="H5" s="2614"/>
      <c r="I5" s="201"/>
      <c r="M5" s="22">
        <v>30</v>
      </c>
    </row>
    <row r="6" spans="1:13" ht="3" hidden="1" customHeight="1">
      <c r="D6" s="61"/>
      <c r="E6" s="61"/>
      <c r="F6" s="61"/>
      <c r="G6" s="61"/>
      <c r="H6" s="61"/>
      <c r="I6" s="61"/>
      <c r="M6" s="60">
        <v>0</v>
      </c>
    </row>
    <row r="7" spans="1:13" s="2536" customFormat="1" ht="14.65" customHeight="1">
      <c r="B7" s="58"/>
      <c r="C7" s="59"/>
      <c r="D7" s="62"/>
      <c r="E7" s="62"/>
      <c r="F7" s="62"/>
      <c r="G7" s="62"/>
      <c r="H7" s="687"/>
      <c r="I7" s="62"/>
      <c r="J7" s="63"/>
      <c r="M7" s="57">
        <v>14</v>
      </c>
    </row>
    <row r="8" spans="1:13" ht="14.65" customHeight="1">
      <c r="D8" s="2724" t="s">
        <v>302</v>
      </c>
      <c r="E8" s="2724"/>
      <c r="F8" s="2724"/>
      <c r="G8" s="2724"/>
      <c r="H8" s="2724"/>
      <c r="I8" s="2724" t="s">
        <v>303</v>
      </c>
      <c r="M8" s="60">
        <v>14</v>
      </c>
    </row>
    <row r="9" spans="1:13" ht="29.25" customHeight="1">
      <c r="D9" s="2724" t="s">
        <v>87</v>
      </c>
      <c r="E9" s="2724" t="s">
        <v>1891</v>
      </c>
      <c r="F9" s="2724"/>
      <c r="G9" s="2724"/>
      <c r="H9" s="2724"/>
      <c r="I9" s="2724"/>
      <c r="M9" s="60">
        <v>28</v>
      </c>
    </row>
    <row r="10" spans="1:13" ht="24" customHeight="1">
      <c r="D10" s="2724"/>
      <c r="E10" s="66" t="s">
        <v>1892</v>
      </c>
      <c r="F10" s="66" t="s">
        <v>1893</v>
      </c>
      <c r="G10" s="66" t="s">
        <v>1894</v>
      </c>
      <c r="H10" s="66" t="s">
        <v>392</v>
      </c>
      <c r="I10" s="2724"/>
      <c r="M10" s="60">
        <v>23</v>
      </c>
    </row>
    <row r="11" spans="1:13" ht="12" hidden="1" customHeight="1">
      <c r="D11" s="26" t="s">
        <v>108</v>
      </c>
      <c r="E11" s="26" t="s">
        <v>90</v>
      </c>
      <c r="F11" s="26" t="s">
        <v>110</v>
      </c>
      <c r="G11" s="26" t="s">
        <v>91</v>
      </c>
      <c r="H11" s="26" t="s">
        <v>92</v>
      </c>
      <c r="I11" s="26" t="s">
        <v>111</v>
      </c>
      <c r="M11" s="60">
        <v>0</v>
      </c>
    </row>
    <row r="12" spans="1:13" s="2566" customFormat="1" ht="26.25" customHeight="1">
      <c r="A12" s="82" t="s">
        <v>89</v>
      </c>
      <c r="B12" s="64" t="s">
        <v>28</v>
      </c>
      <c r="C12" s="65"/>
      <c r="D12" s="67" t="s">
        <v>108</v>
      </c>
      <c r="E12" s="316"/>
      <c r="F12" s="316"/>
      <c r="G12" s="1651" t="s">
        <v>28</v>
      </c>
      <c r="H12" s="317"/>
      <c r="I12" s="2692" t="s">
        <v>1895</v>
      </c>
      <c r="K12" s="208"/>
      <c r="L12" s="209"/>
      <c r="M12" s="56">
        <v>25</v>
      </c>
    </row>
    <row r="13" spans="1:13" ht="15.75" customHeight="1">
      <c r="A13" s="60"/>
      <c r="B13" s="60"/>
      <c r="C13" s="60"/>
      <c r="D13" s="48"/>
      <c r="E13" s="69" t="s">
        <v>470</v>
      </c>
      <c r="F13" s="68"/>
      <c r="G13" s="68"/>
      <c r="H13" s="150"/>
      <c r="I13" s="2694"/>
      <c r="M13" s="60">
        <v>15</v>
      </c>
    </row>
    <row r="14" spans="1:13" ht="3" customHeight="1">
      <c r="A14" s="60"/>
      <c r="B14" s="60"/>
      <c r="C14" s="60"/>
      <c r="M14" s="60">
        <v>3</v>
      </c>
    </row>
    <row r="15" spans="1:13" ht="29.25" customHeight="1">
      <c r="E15" s="2955" t="s">
        <v>1896</v>
      </c>
      <c r="F15" s="2955"/>
      <c r="G15" s="2955"/>
      <c r="H15" s="2955"/>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3" sqref="E13"/>
    </sheetView>
  </sheetViews>
  <sheetFormatPr defaultColWidth="9.140625" defaultRowHeight="14.25" customHeight="1"/>
  <cols>
    <col min="1" max="2" width="9.140625" style="2577" hidden="1"/>
    <col min="3" max="3" width="3" style="2578" customWidth="1"/>
    <col min="4" max="4" width="6" style="2577" customWidth="1"/>
    <col min="5" max="5" width="94" style="2577" customWidth="1"/>
    <col min="6" max="9" width="8" style="2577" customWidth="1"/>
    <col min="10" max="10" width="9.140625" style="2577"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956" t="s">
        <v>1897</v>
      </c>
      <c r="E7" s="2957"/>
      <c r="F7" s="203"/>
      <c r="J7" s="8">
        <v>22</v>
      </c>
    </row>
    <row r="8" spans="1:10" ht="3" customHeight="1">
      <c r="C8" s="31"/>
      <c r="D8" s="9"/>
      <c r="E8" s="9"/>
      <c r="J8" s="8">
        <v>3</v>
      </c>
    </row>
    <row r="9" spans="1:10" ht="16.899999999999999" customHeight="1">
      <c r="C9" s="31"/>
      <c r="D9" s="44" t="s">
        <v>87</v>
      </c>
      <c r="E9" s="196" t="s">
        <v>1898</v>
      </c>
      <c r="J9" s="8">
        <v>16</v>
      </c>
    </row>
    <row r="10" spans="1:10" ht="1.1499999999999999" customHeight="1">
      <c r="C10" s="31"/>
      <c r="D10" s="26"/>
      <c r="E10" s="26"/>
      <c r="J10" s="8">
        <v>1</v>
      </c>
    </row>
    <row r="11" spans="1:10" ht="11.25" hidden="1" customHeight="1">
      <c r="C11" s="31"/>
      <c r="D11" s="87">
        <v>0</v>
      </c>
      <c r="E11" s="197"/>
      <c r="J11" s="8">
        <v>0</v>
      </c>
    </row>
    <row r="12" spans="1:10" ht="44.25" customHeight="1">
      <c r="C12" s="74"/>
      <c r="D12" s="52">
        <v>1</v>
      </c>
      <c r="E12" s="312" t="s">
        <v>1899</v>
      </c>
      <c r="J12" s="8">
        <v>15</v>
      </c>
    </row>
    <row r="13" spans="1:10" ht="12.75" customHeight="1">
      <c r="C13" s="31"/>
      <c r="D13" s="198"/>
      <c r="E13" s="199" t="s">
        <v>1900</v>
      </c>
      <c r="J13" s="8">
        <v>12</v>
      </c>
    </row>
    <row r="14" spans="1:10" ht="3" customHeight="1">
      <c r="J14" s="8">
        <v>3</v>
      </c>
    </row>
    <row r="15" spans="1:10" ht="23.25" customHeight="1">
      <c r="C15" s="75"/>
      <c r="D15" s="2955" t="s">
        <v>1901</v>
      </c>
      <c r="E15" s="2955"/>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577" hidden="1"/>
    <col min="3" max="3" width="3" style="2578" customWidth="1"/>
    <col min="4" max="4" width="6" style="2577" customWidth="1"/>
    <col min="5" max="5" width="94" style="2577" customWidth="1"/>
    <col min="6" max="12" width="8" style="2577" customWidth="1"/>
    <col min="13" max="13" width="9.140625" style="2577"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614" t="s">
        <v>1902</v>
      </c>
      <c r="E7" s="2614"/>
      <c r="F7" s="203"/>
      <c r="M7" s="8">
        <v>22</v>
      </c>
    </row>
    <row r="8" spans="1:13" ht="3" customHeight="1">
      <c r="C8" s="31"/>
      <c r="D8" s="9"/>
      <c r="E8" s="9"/>
      <c r="M8" s="8">
        <v>3</v>
      </c>
    </row>
    <row r="9" spans="1:13" ht="16.899999999999999" customHeight="1">
      <c r="C9" s="31"/>
      <c r="D9" s="44" t="s">
        <v>87</v>
      </c>
      <c r="E9" s="47" t="s">
        <v>289</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1900</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523" hidden="1"/>
    <col min="3" max="4" width="3" style="2523" customWidth="1"/>
    <col min="5" max="6" width="15" style="2523" customWidth="1"/>
    <col min="7" max="7" width="11.5703125" style="2523" customWidth="1"/>
    <col min="8" max="9" width="3" style="2523" customWidth="1"/>
    <col min="10" max="10" width="12" style="2523" customWidth="1"/>
    <col min="11" max="11" width="0.28515625" style="2523" customWidth="1"/>
    <col min="12" max="13" width="10" style="2523" customWidth="1"/>
    <col min="14" max="15" width="3" style="2523" customWidth="1"/>
    <col min="16" max="16" width="19" style="2523" customWidth="1"/>
    <col min="17" max="17" width="0.28515625" style="2523" customWidth="1"/>
    <col min="18" max="19" width="10" style="2523" customWidth="1"/>
    <col min="20" max="21" width="3" style="2523" customWidth="1"/>
    <col min="22" max="22" width="25" style="2523" customWidth="1"/>
    <col min="23" max="23" width="0.28515625" style="2523" customWidth="1"/>
    <col min="24" max="25" width="10" style="2523" customWidth="1"/>
    <col min="26" max="27" width="3" style="2523" customWidth="1"/>
    <col min="28" max="28" width="16" style="2523" customWidth="1"/>
    <col min="29" max="29" width="0.28515625" style="2523" customWidth="1"/>
    <col min="30" max="31" width="10" style="2523" customWidth="1"/>
    <col min="32" max="33" width="3" style="2523" customWidth="1"/>
    <col min="34" max="34" width="8" style="2523" customWidth="1"/>
    <col min="35" max="35" width="21" style="2523" customWidth="1"/>
    <col min="36" max="36" width="8" style="2523" customWidth="1"/>
    <col min="37" max="37" width="8" style="2536" customWidth="1"/>
    <col min="38" max="64" width="8" style="2523" customWidth="1"/>
    <col min="65" max="65" width="9.140625" style="2523" hidden="1"/>
  </cols>
  <sheetData>
    <row r="1" spans="1:65" s="2533"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534" customFormat="1" ht="11.25" hidden="1" customHeight="1">
      <c r="L2" s="1471" t="s">
        <v>281</v>
      </c>
      <c r="M2" s="1471" t="s">
        <v>282</v>
      </c>
      <c r="R2" s="1471" t="s">
        <v>283</v>
      </c>
      <c r="S2" s="1471" t="s">
        <v>282</v>
      </c>
      <c r="X2" s="1471" t="s">
        <v>281</v>
      </c>
      <c r="Y2" s="1471" t="s">
        <v>282</v>
      </c>
      <c r="AD2" s="1471" t="s">
        <v>281</v>
      </c>
      <c r="AE2" s="1471" t="s">
        <v>282</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535"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522" customFormat="1" ht="34.5" customHeight="1">
      <c r="A4" s="1074"/>
      <c r="B4" s="1073"/>
      <c r="C4" s="1433"/>
      <c r="D4" s="2709" t="s">
        <v>284</v>
      </c>
      <c r="E4" s="2709"/>
      <c r="F4" s="2709"/>
      <c r="G4" s="2709"/>
      <c r="H4" s="2709"/>
      <c r="I4" s="2709"/>
      <c r="J4" s="2709"/>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522" customFormat="1" ht="14.65" customHeight="1">
      <c r="A5" s="1550"/>
      <c r="B5" s="1549"/>
      <c r="C5" s="1433"/>
      <c r="D5" s="2696" t="str">
        <f>IF(org=0,"Не определено",org)</f>
        <v>ООО "Ноябрьская ПГЭ"</v>
      </c>
      <c r="E5" s="2696"/>
      <c r="F5" s="2696"/>
      <c r="G5" s="2696"/>
      <c r="H5" s="2696"/>
      <c r="I5" s="2696"/>
      <c r="J5" s="2696"/>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522"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533"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638" t="s">
        <v>87</v>
      </c>
      <c r="E8" s="2638" t="s">
        <v>104</v>
      </c>
      <c r="F8" s="2710" t="s">
        <v>121</v>
      </c>
      <c r="G8" s="2711"/>
      <c r="H8" s="2710" t="s">
        <v>87</v>
      </c>
      <c r="I8" s="2711"/>
      <c r="J8" s="2638" t="s">
        <v>122</v>
      </c>
      <c r="K8" s="1474"/>
      <c r="L8" s="2695" t="s">
        <v>285</v>
      </c>
      <c r="M8" s="2695"/>
      <c r="N8" s="2695"/>
      <c r="O8" s="2695"/>
      <c r="P8" s="2695"/>
      <c r="Q8" s="1475"/>
      <c r="R8" s="2610" t="s">
        <v>286</v>
      </c>
      <c r="S8" s="2615"/>
      <c r="T8" s="2615"/>
      <c r="U8" s="2615"/>
      <c r="V8" s="2615"/>
      <c r="W8" s="1475"/>
      <c r="X8" s="2638" t="s">
        <v>287</v>
      </c>
      <c r="Y8" s="2638"/>
      <c r="Z8" s="2638"/>
      <c r="AA8" s="2638"/>
      <c r="AB8" s="2638"/>
      <c r="AC8" s="1476"/>
      <c r="AD8" s="2638" t="s">
        <v>288</v>
      </c>
      <c r="AE8" s="2638"/>
      <c r="AF8" s="2638"/>
      <c r="AG8" s="2638"/>
      <c r="AH8" s="2610"/>
      <c r="AI8" s="2638" t="s">
        <v>289</v>
      </c>
      <c r="AJ8" s="1492"/>
      <c r="BM8" s="229">
        <v>32</v>
      </c>
    </row>
    <row r="9" spans="1:65" ht="23.25" customHeight="1">
      <c r="D9" s="2638"/>
      <c r="E9" s="2638"/>
      <c r="F9" s="2695" t="s">
        <v>88</v>
      </c>
      <c r="G9" s="2695" t="s">
        <v>127</v>
      </c>
      <c r="H9" s="2712"/>
      <c r="I9" s="2713"/>
      <c r="J9" s="2610"/>
      <c r="K9" s="1477"/>
      <c r="L9" s="2638" t="s">
        <v>290</v>
      </c>
      <c r="M9" s="2610"/>
      <c r="N9" s="2710" t="s">
        <v>87</v>
      </c>
      <c r="O9" s="2711"/>
      <c r="P9" s="2638" t="s">
        <v>128</v>
      </c>
      <c r="Q9" s="1474"/>
      <c r="R9" s="2638" t="s">
        <v>290</v>
      </c>
      <c r="S9" s="2610"/>
      <c r="T9" s="2710" t="s">
        <v>87</v>
      </c>
      <c r="U9" s="2711"/>
      <c r="V9" s="2638" t="s">
        <v>128</v>
      </c>
      <c r="W9" s="1474"/>
      <c r="X9" s="2638" t="s">
        <v>290</v>
      </c>
      <c r="Y9" s="2610"/>
      <c r="Z9" s="2710" t="s">
        <v>87</v>
      </c>
      <c r="AA9" s="2711"/>
      <c r="AB9" s="2638" t="s">
        <v>291</v>
      </c>
      <c r="AC9" s="1474"/>
      <c r="AD9" s="2638" t="s">
        <v>290</v>
      </c>
      <c r="AE9" s="2610"/>
      <c r="AF9" s="2710" t="s">
        <v>87</v>
      </c>
      <c r="AG9" s="2711"/>
      <c r="AH9" s="2610" t="s">
        <v>291</v>
      </c>
      <c r="AI9" s="2638"/>
      <c r="AJ9" s="1492"/>
      <c r="BM9" s="229">
        <v>22</v>
      </c>
    </row>
    <row r="10" spans="1:65" ht="24" customHeight="1">
      <c r="D10" s="2695"/>
      <c r="E10" s="2695"/>
      <c r="F10" s="2714"/>
      <c r="G10" s="2714"/>
      <c r="H10" s="2715"/>
      <c r="I10" s="2716"/>
      <c r="J10" s="2710"/>
      <c r="K10" s="1477"/>
      <c r="L10" s="1496" t="s">
        <v>292</v>
      </c>
      <c r="M10" s="1491" t="s">
        <v>293</v>
      </c>
      <c r="N10" s="2712"/>
      <c r="O10" s="2713"/>
      <c r="P10" s="2695"/>
      <c r="Q10" s="1474"/>
      <c r="R10" s="1496" t="s">
        <v>292</v>
      </c>
      <c r="S10" s="1491" t="s">
        <v>293</v>
      </c>
      <c r="T10" s="2712"/>
      <c r="U10" s="2713"/>
      <c r="V10" s="2695"/>
      <c r="W10" s="1474"/>
      <c r="X10" s="1496" t="s">
        <v>292</v>
      </c>
      <c r="Y10" s="1491" t="s">
        <v>293</v>
      </c>
      <c r="Z10" s="2712"/>
      <c r="AA10" s="2713"/>
      <c r="AB10" s="2695"/>
      <c r="AC10" s="1474"/>
      <c r="AD10" s="1496" t="s">
        <v>292</v>
      </c>
      <c r="AE10" s="1491" t="s">
        <v>293</v>
      </c>
      <c r="AF10" s="2712"/>
      <c r="AG10" s="2713"/>
      <c r="AH10" s="2710"/>
      <c r="AI10" s="2695"/>
      <c r="AJ10" s="1492"/>
      <c r="AK10" s="190" t="s">
        <v>294</v>
      </c>
      <c r="AL10" s="190" t="s">
        <v>129</v>
      </c>
      <c r="BM10" s="229">
        <v>23</v>
      </c>
    </row>
    <row r="11" spans="1:65" ht="15" customHeight="1">
      <c r="D11" s="2703" t="s">
        <v>108</v>
      </c>
      <c r="E11" s="2699" t="s">
        <v>295</v>
      </c>
      <c r="F11" s="2699" t="s">
        <v>296</v>
      </c>
      <c r="G11" s="2647" t="s">
        <v>19</v>
      </c>
      <c r="H11" s="1517"/>
      <c r="I11" s="2701"/>
      <c r="J11" s="2669"/>
      <c r="K11" s="1432"/>
      <c r="L11" s="2653"/>
      <c r="M11" s="2653"/>
      <c r="N11" s="1502"/>
      <c r="O11" s="2653"/>
      <c r="P11" s="2669"/>
      <c r="Q11" s="1503"/>
      <c r="R11" s="2653"/>
      <c r="S11" s="2653"/>
      <c r="T11" s="1504"/>
      <c r="U11" s="2653"/>
      <c r="V11" s="2669"/>
      <c r="W11" s="1505"/>
      <c r="X11" s="2653"/>
      <c r="Y11" s="2653"/>
      <c r="Z11" s="1502"/>
      <c r="AA11" s="2653"/>
      <c r="AB11" s="2669"/>
      <c r="AC11" s="1506"/>
      <c r="AD11" s="2653"/>
      <c r="AE11" s="2653"/>
      <c r="AF11" s="1431"/>
      <c r="AG11" s="1431"/>
      <c r="AH11" s="1507"/>
      <c r="AI11" s="1214"/>
      <c r="AJ11" s="1492"/>
      <c r="BM11" s="229">
        <v>14</v>
      </c>
    </row>
    <row r="12" spans="1:65" ht="14.65" customHeight="1">
      <c r="D12" s="2703"/>
      <c r="E12" s="2699"/>
      <c r="F12" s="2699"/>
      <c r="G12" s="2648"/>
      <c r="H12" s="1518"/>
      <c r="I12" s="2702"/>
      <c r="J12" s="2670"/>
      <c r="K12" s="1528"/>
      <c r="L12" s="2654"/>
      <c r="M12" s="2654"/>
      <c r="N12" s="1508"/>
      <c r="O12" s="2654"/>
      <c r="P12" s="2670"/>
      <c r="Q12" s="1509"/>
      <c r="R12" s="2654"/>
      <c r="S12" s="2654"/>
      <c r="T12" s="1510"/>
      <c r="U12" s="2654"/>
      <c r="V12" s="2670"/>
      <c r="W12" s="1511"/>
      <c r="X12" s="2654"/>
      <c r="Y12" s="2654"/>
      <c r="Z12" s="1508"/>
      <c r="AA12" s="2654"/>
      <c r="AB12" s="2670"/>
      <c r="AC12" s="1512"/>
      <c r="AD12" s="2654"/>
      <c r="AE12" s="2654"/>
      <c r="AF12" s="1513"/>
      <c r="AG12" s="1513"/>
      <c r="AH12" s="2697"/>
      <c r="AI12" s="2698"/>
      <c r="AJ12" s="1492"/>
      <c r="BM12" s="229">
        <v>14</v>
      </c>
    </row>
    <row r="13" spans="1:65" ht="14.65" customHeight="1">
      <c r="D13" s="2703"/>
      <c r="E13" s="2699"/>
      <c r="F13" s="2699"/>
      <c r="G13" s="2648"/>
      <c r="H13" s="1518"/>
      <c r="I13" s="2702"/>
      <c r="J13" s="2670"/>
      <c r="K13" s="1528"/>
      <c r="L13" s="2654"/>
      <c r="M13" s="2654"/>
      <c r="N13" s="1508"/>
      <c r="O13" s="2654"/>
      <c r="P13" s="2670"/>
      <c r="Q13" s="1509"/>
      <c r="R13" s="2654"/>
      <c r="S13" s="2654"/>
      <c r="T13" s="1510"/>
      <c r="U13" s="2654"/>
      <c r="V13" s="2670"/>
      <c r="W13" s="1511"/>
      <c r="X13" s="2654"/>
      <c r="Y13" s="2654"/>
      <c r="Z13" s="1430"/>
      <c r="AA13" s="1513"/>
      <c r="AB13" s="2697"/>
      <c r="AC13" s="2697"/>
      <c r="AD13" s="2697"/>
      <c r="AE13" s="2697"/>
      <c r="AF13" s="2697"/>
      <c r="AG13" s="2697"/>
      <c r="AH13" s="2697"/>
      <c r="AI13" s="2698"/>
      <c r="AJ13" s="1492"/>
      <c r="BM13" s="229">
        <v>14</v>
      </c>
    </row>
    <row r="14" spans="1:65" ht="14.65" customHeight="1">
      <c r="D14" s="2703"/>
      <c r="E14" s="2699"/>
      <c r="F14" s="2699"/>
      <c r="G14" s="2648"/>
      <c r="H14" s="1518"/>
      <c r="I14" s="2702"/>
      <c r="J14" s="2670"/>
      <c r="K14" s="1528"/>
      <c r="L14" s="2654"/>
      <c r="M14" s="2654"/>
      <c r="N14" s="1508"/>
      <c r="O14" s="2654"/>
      <c r="P14" s="2670"/>
      <c r="Q14" s="1509"/>
      <c r="R14" s="2654"/>
      <c r="S14" s="2654"/>
      <c r="T14" s="1514"/>
      <c r="U14" s="1515"/>
      <c r="V14" s="2697"/>
      <c r="W14" s="2697"/>
      <c r="X14" s="2697"/>
      <c r="Y14" s="2697"/>
      <c r="Z14" s="2697"/>
      <c r="AA14" s="2697"/>
      <c r="AB14" s="2697"/>
      <c r="AC14" s="2697"/>
      <c r="AD14" s="2697"/>
      <c r="AE14" s="2697"/>
      <c r="AF14" s="2697"/>
      <c r="AG14" s="2697"/>
      <c r="AH14" s="2697"/>
      <c r="AI14" s="2698"/>
      <c r="AJ14" s="1492"/>
      <c r="BM14" s="229">
        <v>14</v>
      </c>
    </row>
    <row r="15" spans="1:65" ht="11.45" customHeight="1">
      <c r="D15" s="2703"/>
      <c r="E15" s="2699"/>
      <c r="F15" s="2699"/>
      <c r="G15" s="2648"/>
      <c r="H15" s="1519"/>
      <c r="I15" s="2702"/>
      <c r="J15" s="2670"/>
      <c r="K15" s="1528"/>
      <c r="L15" s="2654"/>
      <c r="M15" s="2654"/>
      <c r="N15" s="1513"/>
      <c r="O15" s="1513"/>
      <c r="P15" s="2697"/>
      <c r="Q15" s="2697"/>
      <c r="R15" s="2697"/>
      <c r="S15" s="2697"/>
      <c r="T15" s="2697"/>
      <c r="U15" s="2697"/>
      <c r="V15" s="2697"/>
      <c r="W15" s="2697"/>
      <c r="X15" s="2697"/>
      <c r="Y15" s="2697"/>
      <c r="Z15" s="2697"/>
      <c r="AA15" s="2697"/>
      <c r="AB15" s="2697"/>
      <c r="AC15" s="2697"/>
      <c r="AD15" s="2697"/>
      <c r="AE15" s="2697"/>
      <c r="AF15" s="2697"/>
      <c r="AG15" s="2697"/>
      <c r="AH15" s="2697"/>
      <c r="AI15" s="2698"/>
      <c r="AJ15" s="1492"/>
      <c r="BM15" s="229">
        <v>11</v>
      </c>
    </row>
    <row r="16" spans="1:65" s="2535" customFormat="1" ht="11.45" customHeight="1">
      <c r="D16" s="2707"/>
      <c r="E16" s="2708"/>
      <c r="F16" s="2700"/>
      <c r="G16" s="2624"/>
      <c r="H16" s="1516"/>
      <c r="I16" s="1520"/>
      <c r="J16" s="2705"/>
      <c r="K16" s="2705"/>
      <c r="L16" s="2705"/>
      <c r="M16" s="2705"/>
      <c r="N16" s="2705"/>
      <c r="O16" s="2705"/>
      <c r="P16" s="2705"/>
      <c r="Q16" s="2705"/>
      <c r="R16" s="2705"/>
      <c r="S16" s="2705"/>
      <c r="T16" s="2705"/>
      <c r="U16" s="2705"/>
      <c r="V16" s="2705"/>
      <c r="W16" s="2705"/>
      <c r="X16" s="2705"/>
      <c r="Y16" s="2705"/>
      <c r="Z16" s="2705"/>
      <c r="AA16" s="2705"/>
      <c r="AB16" s="2705"/>
      <c r="AC16" s="2705"/>
      <c r="AD16" s="2705"/>
      <c r="AE16" s="2705"/>
      <c r="AF16" s="2705"/>
      <c r="AG16" s="2705"/>
      <c r="AH16" s="2705"/>
      <c r="AI16" s="2706"/>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703" t="s">
        <v>109</v>
      </c>
      <c r="E17" s="2699" t="s">
        <v>295</v>
      </c>
      <c r="F17" s="2699" t="s">
        <v>297</v>
      </c>
      <c r="G17" s="2647" t="s">
        <v>19</v>
      </c>
      <c r="H17" s="1517"/>
      <c r="I17" s="2701"/>
      <c r="J17" s="2669"/>
      <c r="K17" s="1432"/>
      <c r="L17" s="2653"/>
      <c r="M17" s="2653"/>
      <c r="N17" s="1502"/>
      <c r="O17" s="2653"/>
      <c r="P17" s="2669"/>
      <c r="Q17" s="1503"/>
      <c r="R17" s="2653"/>
      <c r="S17" s="2653"/>
      <c r="T17" s="1504"/>
      <c r="U17" s="2653"/>
      <c r="V17" s="2669"/>
      <c r="W17" s="1505"/>
      <c r="X17" s="2653"/>
      <c r="Y17" s="2653"/>
      <c r="Z17" s="1502"/>
      <c r="AA17" s="2653"/>
      <c r="AB17" s="2669"/>
      <c r="AC17" s="1506"/>
      <c r="AD17" s="2653"/>
      <c r="AE17" s="2653"/>
      <c r="AF17" s="1431"/>
      <c r="AG17" s="1431"/>
      <c r="AH17" s="1507"/>
      <c r="AI17" s="1214"/>
      <c r="AJ17" s="1492"/>
      <c r="BM17" s="229">
        <v>14</v>
      </c>
    </row>
    <row r="18" spans="4:65" ht="14.65" customHeight="1">
      <c r="D18" s="2703"/>
      <c r="E18" s="2699"/>
      <c r="F18" s="2699"/>
      <c r="G18" s="2648"/>
      <c r="H18" s="1518"/>
      <c r="I18" s="2702"/>
      <c r="J18" s="2670"/>
      <c r="K18" s="1501"/>
      <c r="L18" s="2654"/>
      <c r="M18" s="2654"/>
      <c r="N18" s="1508"/>
      <c r="O18" s="2654"/>
      <c r="P18" s="2670"/>
      <c r="Q18" s="1509"/>
      <c r="R18" s="2654"/>
      <c r="S18" s="2654"/>
      <c r="T18" s="1510"/>
      <c r="U18" s="2654"/>
      <c r="V18" s="2670"/>
      <c r="W18" s="1511"/>
      <c r="X18" s="2654"/>
      <c r="Y18" s="2654"/>
      <c r="Z18" s="1508"/>
      <c r="AA18" s="2654"/>
      <c r="AB18" s="2670"/>
      <c r="AC18" s="1512"/>
      <c r="AD18" s="2654"/>
      <c r="AE18" s="2654"/>
      <c r="AF18" s="1513"/>
      <c r="AG18" s="1513"/>
      <c r="AH18" s="2697"/>
      <c r="AI18" s="2698"/>
      <c r="AJ18" s="1492"/>
      <c r="BM18" s="229">
        <v>14</v>
      </c>
    </row>
    <row r="19" spans="4:65" ht="14.65" customHeight="1">
      <c r="D19" s="2703"/>
      <c r="E19" s="2699"/>
      <c r="F19" s="2699"/>
      <c r="G19" s="2648"/>
      <c r="H19" s="1518"/>
      <c r="I19" s="2702"/>
      <c r="J19" s="2670"/>
      <c r="K19" s="1501"/>
      <c r="L19" s="2654"/>
      <c r="M19" s="2654"/>
      <c r="N19" s="1508"/>
      <c r="O19" s="2654"/>
      <c r="P19" s="2670"/>
      <c r="Q19" s="1509"/>
      <c r="R19" s="2654"/>
      <c r="S19" s="2654"/>
      <c r="T19" s="1510"/>
      <c r="U19" s="2654"/>
      <c r="V19" s="2670"/>
      <c r="W19" s="1511"/>
      <c r="X19" s="2654"/>
      <c r="Y19" s="2654"/>
      <c r="Z19" s="1430"/>
      <c r="AA19" s="1513"/>
      <c r="AB19" s="2697"/>
      <c r="AC19" s="2697"/>
      <c r="AD19" s="2697"/>
      <c r="AE19" s="2697"/>
      <c r="AF19" s="2697"/>
      <c r="AG19" s="2697"/>
      <c r="AH19" s="2697"/>
      <c r="AI19" s="2698"/>
      <c r="AJ19" s="1492"/>
      <c r="BM19" s="229">
        <v>14</v>
      </c>
    </row>
    <row r="20" spans="4:65" ht="14.65" customHeight="1">
      <c r="D20" s="2703"/>
      <c r="E20" s="2699"/>
      <c r="F20" s="2699"/>
      <c r="G20" s="2648"/>
      <c r="H20" s="1518"/>
      <c r="I20" s="2702"/>
      <c r="J20" s="2670"/>
      <c r="K20" s="1501"/>
      <c r="L20" s="2654"/>
      <c r="M20" s="2654"/>
      <c r="N20" s="1508"/>
      <c r="O20" s="2654"/>
      <c r="P20" s="2670"/>
      <c r="Q20" s="1509"/>
      <c r="R20" s="2654"/>
      <c r="S20" s="2654"/>
      <c r="T20" s="1514"/>
      <c r="U20" s="1515"/>
      <c r="V20" s="2697"/>
      <c r="W20" s="2697"/>
      <c r="X20" s="2697"/>
      <c r="Y20" s="2697"/>
      <c r="Z20" s="2697"/>
      <c r="AA20" s="2697"/>
      <c r="AB20" s="2697"/>
      <c r="AC20" s="2697"/>
      <c r="AD20" s="2697"/>
      <c r="AE20" s="2697"/>
      <c r="AF20" s="2697"/>
      <c r="AG20" s="2697"/>
      <c r="AH20" s="2697"/>
      <c r="AI20" s="2698"/>
      <c r="AJ20" s="1492"/>
      <c r="BM20" s="229">
        <v>14</v>
      </c>
    </row>
    <row r="21" spans="4:65" ht="11.45" customHeight="1">
      <c r="D21" s="2703"/>
      <c r="E21" s="2699"/>
      <c r="F21" s="2699"/>
      <c r="G21" s="2648"/>
      <c r="H21" s="1519"/>
      <c r="I21" s="2702"/>
      <c r="J21" s="2670"/>
      <c r="K21" s="1501"/>
      <c r="L21" s="2654"/>
      <c r="M21" s="2654"/>
      <c r="N21" s="1513"/>
      <c r="O21" s="1513"/>
      <c r="P21" s="2697"/>
      <c r="Q21" s="2697"/>
      <c r="R21" s="2697"/>
      <c r="S21" s="2697"/>
      <c r="T21" s="2697"/>
      <c r="U21" s="2697"/>
      <c r="V21" s="2697"/>
      <c r="W21" s="2697"/>
      <c r="X21" s="2697"/>
      <c r="Y21" s="2697"/>
      <c r="Z21" s="2697"/>
      <c r="AA21" s="2697"/>
      <c r="AB21" s="2697"/>
      <c r="AC21" s="2697"/>
      <c r="AD21" s="2697"/>
      <c r="AE21" s="2697"/>
      <c r="AF21" s="2697"/>
      <c r="AG21" s="2697"/>
      <c r="AH21" s="2697"/>
      <c r="AI21" s="2698"/>
      <c r="AJ21" s="1492"/>
      <c r="BM21" s="229">
        <v>11</v>
      </c>
    </row>
    <row r="22" spans="4:65" s="2535" customFormat="1" ht="11.45" customHeight="1">
      <c r="D22" s="2707"/>
      <c r="E22" s="2708"/>
      <c r="F22" s="2700"/>
      <c r="G22" s="2624"/>
      <c r="H22" s="1516"/>
      <c r="I22" s="1520"/>
      <c r="J22" s="2705"/>
      <c r="K22" s="2705"/>
      <c r="L22" s="2705"/>
      <c r="M22" s="2705"/>
      <c r="N22" s="2705"/>
      <c r="O22" s="2705"/>
      <c r="P22" s="2705"/>
      <c r="Q22" s="2705"/>
      <c r="R22" s="2705"/>
      <c r="S22" s="2705"/>
      <c r="T22" s="2705"/>
      <c r="U22" s="2705"/>
      <c r="V22" s="2705"/>
      <c r="W22" s="2705"/>
      <c r="X22" s="2705"/>
      <c r="Y22" s="2705"/>
      <c r="Z22" s="2705"/>
      <c r="AA22" s="2705"/>
      <c r="AB22" s="2705"/>
      <c r="AC22" s="2705"/>
      <c r="AD22" s="2705"/>
      <c r="AE22" s="2705"/>
      <c r="AF22" s="2705"/>
      <c r="AG22" s="2705"/>
      <c r="AH22" s="2705"/>
      <c r="AI22" s="2706"/>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703" t="s">
        <v>89</v>
      </c>
      <c r="E23" s="2699" t="s">
        <v>295</v>
      </c>
      <c r="F23" s="2699" t="s">
        <v>298</v>
      </c>
      <c r="G23" s="2647" t="s">
        <v>19</v>
      </c>
      <c r="H23" s="1517"/>
      <c r="I23" s="2701"/>
      <c r="J23" s="2669"/>
      <c r="K23" s="1432"/>
      <c r="L23" s="2653"/>
      <c r="M23" s="2653"/>
      <c r="N23" s="1502"/>
      <c r="O23" s="2653"/>
      <c r="P23" s="2669"/>
      <c r="Q23" s="1503"/>
      <c r="R23" s="2653"/>
      <c r="S23" s="2653"/>
      <c r="T23" s="1504"/>
      <c r="U23" s="2653"/>
      <c r="V23" s="2669"/>
      <c r="W23" s="1505"/>
      <c r="X23" s="2653"/>
      <c r="Y23" s="2653"/>
      <c r="Z23" s="1502"/>
      <c r="AA23" s="2653"/>
      <c r="AB23" s="2669"/>
      <c r="AC23" s="1506"/>
      <c r="AD23" s="2653"/>
      <c r="AE23" s="2653"/>
      <c r="AF23" s="1431"/>
      <c r="AG23" s="1431"/>
      <c r="AH23" s="1507"/>
      <c r="AI23" s="1214"/>
      <c r="AJ23" s="1492"/>
      <c r="AK23" s="242" t="s">
        <v>97</v>
      </c>
      <c r="BM23" s="229">
        <v>14</v>
      </c>
    </row>
    <row r="24" spans="4:65" ht="14.65" customHeight="1">
      <c r="D24" s="2703"/>
      <c r="E24" s="2699"/>
      <c r="F24" s="2699"/>
      <c r="G24" s="2648"/>
      <c r="H24" s="1518"/>
      <c r="I24" s="2702"/>
      <c r="J24" s="2670"/>
      <c r="K24" s="1528"/>
      <c r="L24" s="2654"/>
      <c r="M24" s="2654"/>
      <c r="N24" s="1508"/>
      <c r="O24" s="2654"/>
      <c r="P24" s="2670"/>
      <c r="Q24" s="1509"/>
      <c r="R24" s="2654"/>
      <c r="S24" s="2654"/>
      <c r="T24" s="1510"/>
      <c r="U24" s="2654"/>
      <c r="V24" s="2670"/>
      <c r="W24" s="1511"/>
      <c r="X24" s="2654"/>
      <c r="Y24" s="2654"/>
      <c r="Z24" s="1508"/>
      <c r="AA24" s="2654"/>
      <c r="AB24" s="2670"/>
      <c r="AC24" s="1512"/>
      <c r="AD24" s="2654"/>
      <c r="AE24" s="2654"/>
      <c r="AF24" s="1513"/>
      <c r="AG24" s="1513"/>
      <c r="AH24" s="2697"/>
      <c r="AI24" s="2698"/>
      <c r="AJ24" s="1492"/>
      <c r="BM24" s="229">
        <v>14</v>
      </c>
    </row>
    <row r="25" spans="4:65" ht="14.65" customHeight="1">
      <c r="D25" s="2703"/>
      <c r="E25" s="2699"/>
      <c r="F25" s="2699"/>
      <c r="G25" s="2648"/>
      <c r="H25" s="1518"/>
      <c r="I25" s="2702"/>
      <c r="J25" s="2670"/>
      <c r="K25" s="1528"/>
      <c r="L25" s="2654"/>
      <c r="M25" s="2654"/>
      <c r="N25" s="1508"/>
      <c r="O25" s="2654"/>
      <c r="P25" s="2670"/>
      <c r="Q25" s="1509"/>
      <c r="R25" s="2654"/>
      <c r="S25" s="2654"/>
      <c r="T25" s="1510"/>
      <c r="U25" s="2654"/>
      <c r="V25" s="2670"/>
      <c r="W25" s="1511"/>
      <c r="X25" s="2654"/>
      <c r="Y25" s="2654"/>
      <c r="Z25" s="1430"/>
      <c r="AA25" s="1513"/>
      <c r="AB25" s="2697"/>
      <c r="AC25" s="2697"/>
      <c r="AD25" s="2697"/>
      <c r="AE25" s="2697"/>
      <c r="AF25" s="2697"/>
      <c r="AG25" s="2697"/>
      <c r="AH25" s="2697"/>
      <c r="AI25" s="2698"/>
      <c r="AJ25" s="1492"/>
      <c r="BM25" s="229">
        <v>14</v>
      </c>
    </row>
    <row r="26" spans="4:65" ht="14.65" customHeight="1">
      <c r="D26" s="2703"/>
      <c r="E26" s="2699"/>
      <c r="F26" s="2699"/>
      <c r="G26" s="2648"/>
      <c r="H26" s="1518"/>
      <c r="I26" s="2702"/>
      <c r="J26" s="2670"/>
      <c r="K26" s="1528"/>
      <c r="L26" s="2654"/>
      <c r="M26" s="2654"/>
      <c r="N26" s="1508"/>
      <c r="O26" s="2654"/>
      <c r="P26" s="2670"/>
      <c r="Q26" s="1509"/>
      <c r="R26" s="2654"/>
      <c r="S26" s="2654"/>
      <c r="T26" s="1514"/>
      <c r="U26" s="1515"/>
      <c r="V26" s="2697"/>
      <c r="W26" s="2697"/>
      <c r="X26" s="2697"/>
      <c r="Y26" s="2697"/>
      <c r="Z26" s="2697"/>
      <c r="AA26" s="2697"/>
      <c r="AB26" s="2697"/>
      <c r="AC26" s="2697"/>
      <c r="AD26" s="2697"/>
      <c r="AE26" s="2697"/>
      <c r="AF26" s="2697"/>
      <c r="AG26" s="2697"/>
      <c r="AH26" s="2697"/>
      <c r="AI26" s="2698"/>
      <c r="AJ26" s="1492"/>
      <c r="BM26" s="229">
        <v>14</v>
      </c>
    </row>
    <row r="27" spans="4:65" ht="11.45" customHeight="1">
      <c r="D27" s="2703"/>
      <c r="E27" s="2699"/>
      <c r="F27" s="2699"/>
      <c r="G27" s="2648"/>
      <c r="H27" s="1519"/>
      <c r="I27" s="2702"/>
      <c r="J27" s="2670"/>
      <c r="K27" s="1528"/>
      <c r="L27" s="2654"/>
      <c r="M27" s="2654"/>
      <c r="N27" s="1513"/>
      <c r="O27" s="1513"/>
      <c r="P27" s="2697"/>
      <c r="Q27" s="2697"/>
      <c r="R27" s="2697"/>
      <c r="S27" s="2697"/>
      <c r="T27" s="2697"/>
      <c r="U27" s="2697"/>
      <c r="V27" s="2697"/>
      <c r="W27" s="2697"/>
      <c r="X27" s="2697"/>
      <c r="Y27" s="2697"/>
      <c r="Z27" s="2697"/>
      <c r="AA27" s="2697"/>
      <c r="AB27" s="2697"/>
      <c r="AC27" s="2697"/>
      <c r="AD27" s="2697"/>
      <c r="AE27" s="2697"/>
      <c r="AF27" s="2697"/>
      <c r="AG27" s="2697"/>
      <c r="AH27" s="2697"/>
      <c r="AI27" s="2698"/>
      <c r="AJ27" s="1492"/>
      <c r="BM27" s="229">
        <v>11</v>
      </c>
    </row>
    <row r="28" spans="4:65" s="2535" customFormat="1" ht="11.45" customHeight="1">
      <c r="D28" s="2707"/>
      <c r="E28" s="2708"/>
      <c r="F28" s="2700"/>
      <c r="G28" s="2624"/>
      <c r="H28" s="1516"/>
      <c r="I28" s="1520"/>
      <c r="J28" s="2705"/>
      <c r="K28" s="2705"/>
      <c r="L28" s="2705"/>
      <c r="M28" s="2705"/>
      <c r="N28" s="2705"/>
      <c r="O28" s="2705"/>
      <c r="P28" s="2705"/>
      <c r="Q28" s="2705"/>
      <c r="R28" s="2705"/>
      <c r="S28" s="2705"/>
      <c r="T28" s="2705"/>
      <c r="U28" s="2705"/>
      <c r="V28" s="2705"/>
      <c r="W28" s="2705"/>
      <c r="X28" s="2705"/>
      <c r="Y28" s="2705"/>
      <c r="Z28" s="2705"/>
      <c r="AA28" s="2705"/>
      <c r="AB28" s="2705"/>
      <c r="AC28" s="2705"/>
      <c r="AD28" s="2705"/>
      <c r="AE28" s="2705"/>
      <c r="AF28" s="2705"/>
      <c r="AG28" s="2705"/>
      <c r="AH28" s="2705"/>
      <c r="AI28" s="2706"/>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703" t="s">
        <v>90</v>
      </c>
      <c r="E29" s="2699" t="s">
        <v>295</v>
      </c>
      <c r="F29" s="2699" t="s">
        <v>299</v>
      </c>
      <c r="G29" s="2647" t="s">
        <v>19</v>
      </c>
      <c r="H29" s="1517"/>
      <c r="I29" s="2701"/>
      <c r="J29" s="2669"/>
      <c r="K29" s="1432"/>
      <c r="L29" s="2653"/>
      <c r="M29" s="2653"/>
      <c r="N29" s="1502"/>
      <c r="O29" s="2653"/>
      <c r="P29" s="2669"/>
      <c r="Q29" s="1503"/>
      <c r="R29" s="2653"/>
      <c r="S29" s="2653"/>
      <c r="T29" s="1504"/>
      <c r="U29" s="2653"/>
      <c r="V29" s="2669"/>
      <c r="W29" s="1505"/>
      <c r="X29" s="2653"/>
      <c r="Y29" s="2653"/>
      <c r="Z29" s="1502"/>
      <c r="AA29" s="2653"/>
      <c r="AB29" s="2669"/>
      <c r="AC29" s="1506"/>
      <c r="AD29" s="2653"/>
      <c r="AE29" s="2653"/>
      <c r="AF29" s="1431"/>
      <c r="AG29" s="1431"/>
      <c r="AH29" s="1507"/>
      <c r="AI29" s="1214"/>
      <c r="AJ29" s="1492"/>
      <c r="BM29" s="229">
        <v>14</v>
      </c>
    </row>
    <row r="30" spans="4:65" ht="14.65" customHeight="1">
      <c r="D30" s="2703"/>
      <c r="E30" s="2699"/>
      <c r="F30" s="2699"/>
      <c r="G30" s="2648"/>
      <c r="H30" s="1518"/>
      <c r="I30" s="2702"/>
      <c r="J30" s="2670"/>
      <c r="K30" s="1501"/>
      <c r="L30" s="2654"/>
      <c r="M30" s="2654"/>
      <c r="N30" s="1508"/>
      <c r="O30" s="2654"/>
      <c r="P30" s="2670"/>
      <c r="Q30" s="1509"/>
      <c r="R30" s="2654"/>
      <c r="S30" s="2654"/>
      <c r="T30" s="1510"/>
      <c r="U30" s="2654"/>
      <c r="V30" s="2670"/>
      <c r="W30" s="1511"/>
      <c r="X30" s="2654"/>
      <c r="Y30" s="2654"/>
      <c r="Z30" s="1508"/>
      <c r="AA30" s="2654"/>
      <c r="AB30" s="2670"/>
      <c r="AC30" s="1512"/>
      <c r="AD30" s="2654"/>
      <c r="AE30" s="2654"/>
      <c r="AF30" s="1513"/>
      <c r="AG30" s="1513"/>
      <c r="AH30" s="2697"/>
      <c r="AI30" s="2698"/>
      <c r="AJ30" s="1492"/>
      <c r="BM30" s="229">
        <v>14</v>
      </c>
    </row>
    <row r="31" spans="4:65" ht="14.65" customHeight="1">
      <c r="D31" s="2703"/>
      <c r="E31" s="2699"/>
      <c r="F31" s="2699"/>
      <c r="G31" s="2648"/>
      <c r="H31" s="1518"/>
      <c r="I31" s="2702"/>
      <c r="J31" s="2670"/>
      <c r="K31" s="1501"/>
      <c r="L31" s="2654"/>
      <c r="M31" s="2654"/>
      <c r="N31" s="1508"/>
      <c r="O31" s="2654"/>
      <c r="P31" s="2670"/>
      <c r="Q31" s="1509"/>
      <c r="R31" s="2654"/>
      <c r="S31" s="2654"/>
      <c r="T31" s="1510"/>
      <c r="U31" s="2654"/>
      <c r="V31" s="2670"/>
      <c r="W31" s="1511"/>
      <c r="X31" s="2654"/>
      <c r="Y31" s="2654"/>
      <c r="Z31" s="1430"/>
      <c r="AA31" s="1513"/>
      <c r="AB31" s="2697"/>
      <c r="AC31" s="2697"/>
      <c r="AD31" s="2697"/>
      <c r="AE31" s="2697"/>
      <c r="AF31" s="2697"/>
      <c r="AG31" s="2697"/>
      <c r="AH31" s="2697"/>
      <c r="AI31" s="2698"/>
      <c r="AJ31" s="1492"/>
      <c r="BM31" s="229">
        <v>14</v>
      </c>
    </row>
    <row r="32" spans="4:65" ht="14.65" customHeight="1">
      <c r="D32" s="2703"/>
      <c r="E32" s="2699"/>
      <c r="F32" s="2699"/>
      <c r="G32" s="2648"/>
      <c r="H32" s="1518"/>
      <c r="I32" s="2702"/>
      <c r="J32" s="2670"/>
      <c r="K32" s="1501"/>
      <c r="L32" s="2654"/>
      <c r="M32" s="2654"/>
      <c r="N32" s="1508"/>
      <c r="O32" s="2654"/>
      <c r="P32" s="2670"/>
      <c r="Q32" s="1509"/>
      <c r="R32" s="2654"/>
      <c r="S32" s="2654"/>
      <c r="T32" s="1514"/>
      <c r="U32" s="1515"/>
      <c r="V32" s="2697"/>
      <c r="W32" s="2697"/>
      <c r="X32" s="2697"/>
      <c r="Y32" s="2697"/>
      <c r="Z32" s="2697"/>
      <c r="AA32" s="2697"/>
      <c r="AB32" s="2697"/>
      <c r="AC32" s="2697"/>
      <c r="AD32" s="2697"/>
      <c r="AE32" s="2697"/>
      <c r="AF32" s="2697"/>
      <c r="AG32" s="2697"/>
      <c r="AH32" s="2697"/>
      <c r="AI32" s="2698"/>
      <c r="AJ32" s="1492"/>
      <c r="BM32" s="229">
        <v>14</v>
      </c>
    </row>
    <row r="33" spans="4:65" ht="11.45" customHeight="1">
      <c r="D33" s="2703"/>
      <c r="E33" s="2699"/>
      <c r="F33" s="2699"/>
      <c r="G33" s="2648"/>
      <c r="H33" s="1519"/>
      <c r="I33" s="2702"/>
      <c r="J33" s="2670"/>
      <c r="K33" s="1501"/>
      <c r="L33" s="2654"/>
      <c r="M33" s="2654"/>
      <c r="N33" s="1513"/>
      <c r="O33" s="1513"/>
      <c r="P33" s="2697"/>
      <c r="Q33" s="2697"/>
      <c r="R33" s="2697"/>
      <c r="S33" s="2697"/>
      <c r="T33" s="2697"/>
      <c r="U33" s="2697"/>
      <c r="V33" s="2697"/>
      <c r="W33" s="2697"/>
      <c r="X33" s="2697"/>
      <c r="Y33" s="2697"/>
      <c r="Z33" s="2697"/>
      <c r="AA33" s="2697"/>
      <c r="AB33" s="2697"/>
      <c r="AC33" s="2697"/>
      <c r="AD33" s="2697"/>
      <c r="AE33" s="2697"/>
      <c r="AF33" s="2697"/>
      <c r="AG33" s="2697"/>
      <c r="AH33" s="2697"/>
      <c r="AI33" s="2698"/>
      <c r="AJ33" s="1492"/>
      <c r="BM33" s="229">
        <v>11</v>
      </c>
    </row>
    <row r="34" spans="4:65" s="2535" customFormat="1" ht="11.45" customHeight="1">
      <c r="D34" s="2707"/>
      <c r="E34" s="2708"/>
      <c r="F34" s="2700"/>
      <c r="G34" s="2624"/>
      <c r="H34" s="1516"/>
      <c r="I34" s="1520"/>
      <c r="J34" s="2705"/>
      <c r="K34" s="2705"/>
      <c r="L34" s="2705"/>
      <c r="M34" s="2705"/>
      <c r="N34" s="2705"/>
      <c r="O34" s="2705"/>
      <c r="P34" s="2705"/>
      <c r="Q34" s="2705"/>
      <c r="R34" s="2705"/>
      <c r="S34" s="2705"/>
      <c r="T34" s="2705"/>
      <c r="U34" s="2705"/>
      <c r="V34" s="2705"/>
      <c r="W34" s="2705"/>
      <c r="X34" s="2705"/>
      <c r="Y34" s="2705"/>
      <c r="Z34" s="2705"/>
      <c r="AA34" s="2705"/>
      <c r="AB34" s="2705"/>
      <c r="AC34" s="2705"/>
      <c r="AD34" s="2705"/>
      <c r="AE34" s="2705"/>
      <c r="AF34" s="2705"/>
      <c r="AG34" s="2705"/>
      <c r="AH34" s="2705"/>
      <c r="AI34" s="2706"/>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703" t="s">
        <v>110</v>
      </c>
      <c r="E35" s="2699" t="s">
        <v>295</v>
      </c>
      <c r="F35" s="2699" t="s">
        <v>300</v>
      </c>
      <c r="G35" s="2647" t="s">
        <v>19</v>
      </c>
      <c r="H35" s="1517"/>
      <c r="I35" s="2701"/>
      <c r="J35" s="2669"/>
      <c r="K35" s="1432"/>
      <c r="L35" s="2653"/>
      <c r="M35" s="2653"/>
      <c r="N35" s="1502"/>
      <c r="O35" s="2653"/>
      <c r="P35" s="2669"/>
      <c r="Q35" s="1503"/>
      <c r="R35" s="2653"/>
      <c r="S35" s="2653"/>
      <c r="T35" s="1504"/>
      <c r="U35" s="2653"/>
      <c r="V35" s="2669"/>
      <c r="W35" s="1505"/>
      <c r="X35" s="2653"/>
      <c r="Y35" s="2653"/>
      <c r="Z35" s="1502"/>
      <c r="AA35" s="2653"/>
      <c r="AB35" s="2669"/>
      <c r="AC35" s="1506"/>
      <c r="AD35" s="2653"/>
      <c r="AE35" s="2653"/>
      <c r="AF35" s="1431"/>
      <c r="AG35" s="1431"/>
      <c r="AH35" s="1507"/>
      <c r="AI35" s="1214"/>
      <c r="AJ35" s="1492"/>
      <c r="BM35" s="229">
        <v>14</v>
      </c>
    </row>
    <row r="36" spans="4:65" ht="14.65" customHeight="1">
      <c r="D36" s="2703"/>
      <c r="E36" s="2699"/>
      <c r="F36" s="2699"/>
      <c r="G36" s="2648"/>
      <c r="H36" s="1518"/>
      <c r="I36" s="2702"/>
      <c r="J36" s="2670"/>
      <c r="K36" s="1501"/>
      <c r="L36" s="2654"/>
      <c r="M36" s="2654"/>
      <c r="N36" s="1508"/>
      <c r="O36" s="2654"/>
      <c r="P36" s="2670"/>
      <c r="Q36" s="1509"/>
      <c r="R36" s="2654"/>
      <c r="S36" s="2654"/>
      <c r="T36" s="1510"/>
      <c r="U36" s="2654"/>
      <c r="V36" s="2670"/>
      <c r="W36" s="1511"/>
      <c r="X36" s="2654"/>
      <c r="Y36" s="2654"/>
      <c r="Z36" s="1508"/>
      <c r="AA36" s="2654"/>
      <c r="AB36" s="2670"/>
      <c r="AC36" s="1512"/>
      <c r="AD36" s="2654"/>
      <c r="AE36" s="2654"/>
      <c r="AF36" s="1513"/>
      <c r="AG36" s="1513"/>
      <c r="AH36" s="2697"/>
      <c r="AI36" s="2698"/>
      <c r="AJ36" s="1492"/>
      <c r="BM36" s="229">
        <v>14</v>
      </c>
    </row>
    <row r="37" spans="4:65" ht="14.65" customHeight="1">
      <c r="D37" s="2703"/>
      <c r="E37" s="2699"/>
      <c r="F37" s="2699"/>
      <c r="G37" s="2648"/>
      <c r="H37" s="1518"/>
      <c r="I37" s="2702"/>
      <c r="J37" s="2670"/>
      <c r="K37" s="1501"/>
      <c r="L37" s="2654"/>
      <c r="M37" s="2654"/>
      <c r="N37" s="1508"/>
      <c r="O37" s="2654"/>
      <c r="P37" s="2670"/>
      <c r="Q37" s="1509"/>
      <c r="R37" s="2654"/>
      <c r="S37" s="2654"/>
      <c r="T37" s="1510"/>
      <c r="U37" s="2654"/>
      <c r="V37" s="2670"/>
      <c r="W37" s="1511"/>
      <c r="X37" s="2654"/>
      <c r="Y37" s="2654"/>
      <c r="Z37" s="1430"/>
      <c r="AA37" s="1513"/>
      <c r="AB37" s="2697"/>
      <c r="AC37" s="2697"/>
      <c r="AD37" s="2697"/>
      <c r="AE37" s="2697"/>
      <c r="AF37" s="2697"/>
      <c r="AG37" s="2697"/>
      <c r="AH37" s="2697"/>
      <c r="AI37" s="2698"/>
      <c r="AJ37" s="1492"/>
      <c r="BM37" s="229">
        <v>14</v>
      </c>
    </row>
    <row r="38" spans="4:65" ht="14.65" customHeight="1">
      <c r="D38" s="2703"/>
      <c r="E38" s="2699"/>
      <c r="F38" s="2699"/>
      <c r="G38" s="2648"/>
      <c r="H38" s="1518"/>
      <c r="I38" s="2702"/>
      <c r="J38" s="2670"/>
      <c r="K38" s="1501"/>
      <c r="L38" s="2654"/>
      <c r="M38" s="2654"/>
      <c r="N38" s="1508"/>
      <c r="O38" s="2654"/>
      <c r="P38" s="2670"/>
      <c r="Q38" s="1509"/>
      <c r="R38" s="2654"/>
      <c r="S38" s="2654"/>
      <c r="T38" s="1514"/>
      <c r="U38" s="1515"/>
      <c r="V38" s="2697"/>
      <c r="W38" s="2697"/>
      <c r="X38" s="2697"/>
      <c r="Y38" s="2697"/>
      <c r="Z38" s="2697"/>
      <c r="AA38" s="2697"/>
      <c r="AB38" s="2697"/>
      <c r="AC38" s="2697"/>
      <c r="AD38" s="2697"/>
      <c r="AE38" s="2697"/>
      <c r="AF38" s="2697"/>
      <c r="AG38" s="2697"/>
      <c r="AH38" s="2697"/>
      <c r="AI38" s="2698"/>
      <c r="AJ38" s="1492"/>
      <c r="BM38" s="229">
        <v>14</v>
      </c>
    </row>
    <row r="39" spans="4:65" ht="11.45" customHeight="1">
      <c r="D39" s="2703"/>
      <c r="E39" s="2699"/>
      <c r="F39" s="2699"/>
      <c r="G39" s="2648"/>
      <c r="H39" s="1519"/>
      <c r="I39" s="2702"/>
      <c r="J39" s="2670"/>
      <c r="K39" s="1501"/>
      <c r="L39" s="2654"/>
      <c r="M39" s="2654"/>
      <c r="N39" s="1513"/>
      <c r="O39" s="1513"/>
      <c r="P39" s="2697"/>
      <c r="Q39" s="2697"/>
      <c r="R39" s="2697"/>
      <c r="S39" s="2697"/>
      <c r="T39" s="2697"/>
      <c r="U39" s="2697"/>
      <c r="V39" s="2697"/>
      <c r="W39" s="2697"/>
      <c r="X39" s="2697"/>
      <c r="Y39" s="2697"/>
      <c r="Z39" s="2697"/>
      <c r="AA39" s="2697"/>
      <c r="AB39" s="2697"/>
      <c r="AC39" s="2697"/>
      <c r="AD39" s="2697"/>
      <c r="AE39" s="2697"/>
      <c r="AF39" s="2697"/>
      <c r="AG39" s="2697"/>
      <c r="AH39" s="2697"/>
      <c r="AI39" s="2698"/>
      <c r="AJ39" s="1492"/>
      <c r="BM39" s="229">
        <v>11</v>
      </c>
    </row>
    <row r="40" spans="4:65" s="2535" customFormat="1" ht="11.45" customHeight="1">
      <c r="D40" s="2703"/>
      <c r="E40" s="2699"/>
      <c r="F40" s="2704"/>
      <c r="G40" s="2624"/>
      <c r="H40" s="1516"/>
      <c r="I40" s="1520"/>
      <c r="J40" s="2705"/>
      <c r="K40" s="2705"/>
      <c r="L40" s="2705"/>
      <c r="M40" s="2705"/>
      <c r="N40" s="2705"/>
      <c r="O40" s="2705"/>
      <c r="P40" s="2705"/>
      <c r="Q40" s="2705"/>
      <c r="R40" s="2705"/>
      <c r="S40" s="2705"/>
      <c r="T40" s="2705"/>
      <c r="U40" s="2705"/>
      <c r="V40" s="2705"/>
      <c r="W40" s="2705"/>
      <c r="X40" s="2705"/>
      <c r="Y40" s="2705"/>
      <c r="Z40" s="2705"/>
      <c r="AA40" s="2705"/>
      <c r="AB40" s="2705"/>
      <c r="AC40" s="2705"/>
      <c r="AD40" s="2705"/>
      <c r="AE40" s="2705"/>
      <c r="AF40" s="2705"/>
      <c r="AG40" s="2705"/>
      <c r="AH40" s="2705"/>
      <c r="AI40" s="2706"/>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81</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523" customWidth="1"/>
    <col min="2" max="2" width="34.5703125" style="2523" customWidth="1"/>
    <col min="3" max="3" width="85" style="2523" customWidth="1"/>
    <col min="4" max="4" width="17" style="2523" customWidth="1"/>
    <col min="5" max="5" width="8" style="2523" customWidth="1"/>
    <col min="6" max="6" width="9.140625" style="2523" hidden="1"/>
  </cols>
  <sheetData>
    <row r="1" spans="1:6" ht="3" customHeight="1">
      <c r="F1" s="28" t="s">
        <v>14</v>
      </c>
    </row>
    <row r="2" spans="1:6" ht="22.5" customHeight="1">
      <c r="B2" s="2958" t="s">
        <v>1903</v>
      </c>
      <c r="C2" s="2958"/>
      <c r="D2" s="2958"/>
      <c r="E2" s="204"/>
      <c r="F2" s="28">
        <v>22</v>
      </c>
    </row>
    <row r="3" spans="1:6" ht="3" customHeight="1">
      <c r="F3" s="28">
        <v>3</v>
      </c>
    </row>
    <row r="4" spans="1:6" ht="23.25" customHeight="1">
      <c r="B4" s="1989" t="s">
        <v>1904</v>
      </c>
      <c r="C4" s="318" t="s">
        <v>1905</v>
      </c>
      <c r="D4" s="318" t="s">
        <v>1906</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523" customWidth="1"/>
    <col min="2" max="2" width="10" style="2523" customWidth="1"/>
    <col min="3" max="3" width="9.140625" style="2523"/>
    <col min="4" max="4" width="11.140625" style="2523" customWidth="1"/>
    <col min="5" max="5" width="16.5703125" style="2523" customWidth="1"/>
    <col min="6" max="6" width="16.28515625" style="2523" customWidth="1"/>
    <col min="7" max="7" width="19.140625" style="2523" customWidth="1"/>
    <col min="8" max="11" width="10" style="2523" customWidth="1"/>
    <col min="12" max="12" width="12.7109375" style="2523" customWidth="1"/>
    <col min="13" max="13" width="61.28515625" style="2523" customWidth="1"/>
    <col min="14" max="14" width="10" style="2523" customWidth="1"/>
    <col min="15" max="17" width="23.7109375" style="2523" customWidth="1"/>
    <col min="18" max="18" width="11.7109375" style="2523" customWidth="1"/>
    <col min="19" max="19" width="8.5703125" style="2523" customWidth="1"/>
    <col min="20" max="20" width="11.7109375" style="2523" customWidth="1"/>
    <col min="21" max="21" width="8.5703125" style="2523" customWidth="1"/>
    <col min="22" max="22" width="4.7109375" style="2523" customWidth="1"/>
    <col min="23" max="23" width="115.7109375" style="2523" customWidth="1"/>
    <col min="24" max="24" width="115.28515625" style="2523" customWidth="1"/>
    <col min="25" max="27" width="9.140625" style="2523"/>
    <col min="28" max="28" width="115.7109375" style="2523" customWidth="1"/>
    <col min="29" max="29" width="9.140625" style="2523"/>
    <col min="30" max="90" width="115.7109375" style="2523" customWidth="1"/>
    <col min="91" max="184" width="9.140625" style="2523"/>
  </cols>
  <sheetData>
    <row r="2" spans="1:80" s="2579" customFormat="1" ht="17.25" customHeight="1">
      <c r="A2" s="1732" t="s">
        <v>1907</v>
      </c>
    </row>
    <row r="4" spans="1:80" s="2577" customFormat="1" ht="15" customHeight="1">
      <c r="C4" s="1733"/>
      <c r="D4" s="52"/>
      <c r="E4" s="312"/>
    </row>
    <row r="6" spans="1:80" s="2579" customFormat="1" ht="17.25" customHeight="1">
      <c r="A6" s="1732" t="s">
        <v>1908</v>
      </c>
    </row>
    <row r="8" spans="1:80" s="2577" customFormat="1" ht="17.25" customHeight="1">
      <c r="C8" s="1734"/>
      <c r="D8" s="52"/>
      <c r="E8" s="53"/>
    </row>
    <row r="11" spans="1:80" s="2579" customFormat="1" ht="17.25" customHeight="1">
      <c r="A11" s="1732" t="s">
        <v>1909</v>
      </c>
    </row>
    <row r="13" spans="1:80" s="2522" customFormat="1" ht="15" customHeight="1">
      <c r="A13" s="2732">
        <v>1</v>
      </c>
      <c r="B13" s="1078"/>
      <c r="C13" s="730" t="s">
        <v>427</v>
      </c>
      <c r="D13" s="1735"/>
      <c r="E13" s="1722">
        <f>A13</f>
        <v>1</v>
      </c>
      <c r="F13" s="733"/>
      <c r="G13" s="475" t="str">
        <f>"Территория "&amp;E13</f>
        <v>Территория 1</v>
      </c>
      <c r="H13" s="721"/>
      <c r="I13" s="721"/>
      <c r="J13" s="718"/>
      <c r="K13" s="1542"/>
      <c r="L13" s="1542"/>
      <c r="M13" s="1542"/>
      <c r="N13" s="162"/>
      <c r="O13" s="1542"/>
      <c r="P13" s="161"/>
      <c r="Q13" s="161"/>
      <c r="R13" s="161"/>
      <c r="S13" s="161"/>
    </row>
    <row r="14" spans="1:80" s="2523" customFormat="1" ht="15" customHeight="1">
      <c r="A14" s="2732"/>
      <c r="B14" s="1078">
        <v>1</v>
      </c>
      <c r="C14" s="1078"/>
      <c r="D14" s="729"/>
      <c r="E14" s="1730"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523" customFormat="1" ht="15" customHeight="1">
      <c r="A15" s="2732"/>
      <c r="B15" s="1078"/>
      <c r="C15" s="347"/>
      <c r="D15" s="730"/>
      <c r="E15" s="356"/>
      <c r="F15" s="113"/>
      <c r="G15" s="350" t="s">
        <v>101</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579" customFormat="1" ht="17.25" customHeight="1">
      <c r="A17" s="1732" t="s">
        <v>1910</v>
      </c>
    </row>
    <row r="19" spans="1:80" s="2523" customFormat="1" ht="15" customHeight="1">
      <c r="A19" s="1797"/>
      <c r="B19" s="1284">
        <v>1</v>
      </c>
      <c r="C19" s="1284"/>
      <c r="D19" s="729" t="s">
        <v>427</v>
      </c>
      <c r="E19" s="1793"/>
      <c r="F19" s="1798">
        <f>$F$20</f>
        <v>0</v>
      </c>
      <c r="G19" s="1802"/>
      <c r="H19" s="1802"/>
      <c r="I19" s="1800"/>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523" customFormat="1" ht="15" customHeight="1">
      <c r="A21" s="1732" t="s">
        <v>1911</v>
      </c>
      <c r="B21" s="1732"/>
      <c r="C21" s="1732"/>
      <c r="D21" s="1732"/>
      <c r="E21" s="1732"/>
      <c r="F21" s="1732"/>
      <c r="G21" s="1732"/>
      <c r="H21" s="1732"/>
      <c r="I21" s="1732"/>
      <c r="J21" s="1732"/>
      <c r="K21" s="1732"/>
      <c r="L21" s="1732"/>
      <c r="M21" s="1732"/>
      <c r="N21" s="1732"/>
      <c r="O21" s="1732"/>
      <c r="P21" s="1732"/>
      <c r="Q21" s="1732"/>
      <c r="R21" s="1732"/>
      <c r="S21" s="1732"/>
      <c r="T21" s="1732"/>
      <c r="U21" s="120"/>
      <c r="V21" s="1732"/>
      <c r="W21" s="1732"/>
    </row>
    <row r="22" spans="1:80" s="2523" customFormat="1" ht="15" customHeight="1">
      <c r="U22" s="121"/>
    </row>
    <row r="23" spans="1:80" s="2529" customFormat="1" ht="15" customHeight="1">
      <c r="A23" s="358"/>
      <c r="B23" s="358"/>
      <c r="C23" s="1645" t="s">
        <v>427</v>
      </c>
      <c r="D23" s="2620" t="s">
        <v>108</v>
      </c>
      <c r="E23" s="2621"/>
      <c r="F23" s="2619" t="s">
        <v>19</v>
      </c>
      <c r="G23" s="3001"/>
      <c r="H23" s="2638">
        <v>1</v>
      </c>
      <c r="I23" s="3003" t="str">
        <f>IF(U23="","",INDEX(TERRITORY_MR_LIST,MATCH(U23,TERRITORY_LIST_ID,0)))</f>
        <v/>
      </c>
      <c r="J23" s="2619" t="s">
        <v>19</v>
      </c>
      <c r="K23" s="761"/>
      <c r="L23" s="1699" t="s">
        <v>108</v>
      </c>
      <c r="M23" s="538"/>
      <c r="N23" s="539"/>
      <c r="O23" s="539"/>
      <c r="P23" s="539"/>
      <c r="Q23" s="539"/>
      <c r="R23" s="539"/>
      <c r="S23" s="539"/>
      <c r="T23" s="539"/>
      <c r="U23" s="540"/>
      <c r="V23" s="539"/>
      <c r="W23" s="539"/>
      <c r="X23" s="530"/>
      <c r="Y23" s="530" t="s">
        <v>117</v>
      </c>
      <c r="Z23" s="530">
        <v>1705000</v>
      </c>
      <c r="AA23" s="530"/>
      <c r="AB23" s="530"/>
      <c r="AC23" s="530"/>
      <c r="AD23" s="530"/>
      <c r="AE23" s="530"/>
      <c r="AF23" s="530"/>
      <c r="AG23" s="530"/>
      <c r="AH23" s="530"/>
      <c r="AI23" s="530"/>
      <c r="AJ23" s="530"/>
      <c r="AK23" s="530"/>
      <c r="AL23" s="530"/>
    </row>
    <row r="24" spans="1:80" s="2529" customFormat="1" ht="15" customHeight="1">
      <c r="A24" s="358"/>
      <c r="B24" s="358"/>
      <c r="C24" s="112"/>
      <c r="D24" s="2620"/>
      <c r="E24" s="2622"/>
      <c r="F24" s="2619"/>
      <c r="G24" s="3002"/>
      <c r="H24" s="2638"/>
      <c r="I24" s="3004"/>
      <c r="J24" s="2619"/>
      <c r="K24" s="356"/>
      <c r="L24" s="113"/>
      <c r="M24" s="542" t="s">
        <v>118</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529" customFormat="1" ht="15" customHeight="1">
      <c r="A25" s="358"/>
      <c r="B25" s="358"/>
      <c r="C25" s="112"/>
      <c r="D25" s="2620"/>
      <c r="E25" s="2623"/>
      <c r="F25" s="2619"/>
      <c r="G25" s="356"/>
      <c r="H25" s="113"/>
      <c r="I25" s="515" t="s">
        <v>119</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523" customFormat="1" ht="15" customHeight="1">
      <c r="U26" s="121"/>
    </row>
    <row r="27" spans="1:80" s="2523" customFormat="1" ht="15" customHeight="1">
      <c r="A27" s="1732" t="s">
        <v>1912</v>
      </c>
      <c r="B27" s="1732"/>
      <c r="C27" s="1732"/>
      <c r="D27" s="1732"/>
      <c r="E27" s="1732"/>
      <c r="F27" s="1732"/>
      <c r="G27" s="1732"/>
      <c r="H27" s="1732"/>
      <c r="I27" s="1732"/>
      <c r="J27" s="1732"/>
      <c r="K27" s="1732"/>
      <c r="L27" s="1732"/>
      <c r="M27" s="1732"/>
      <c r="N27" s="1732"/>
      <c r="O27" s="1732"/>
      <c r="P27" s="1732"/>
      <c r="Q27" s="1732"/>
      <c r="R27" s="1732"/>
      <c r="S27" s="1732"/>
      <c r="T27" s="1732"/>
      <c r="U27" s="120"/>
      <c r="V27" s="1732"/>
      <c r="W27" s="1732"/>
    </row>
    <row r="28" spans="1:80" s="2523" customFormat="1" ht="15" customHeight="1">
      <c r="U28" s="121"/>
    </row>
    <row r="29" spans="1:80" s="2529" customFormat="1" ht="15" customHeight="1">
      <c r="A29" s="358"/>
      <c r="B29" s="358"/>
      <c r="C29" s="112"/>
      <c r="D29" s="1736"/>
      <c r="E29" s="1736"/>
      <c r="F29" s="1736"/>
      <c r="G29" s="3005" t="s">
        <v>427</v>
      </c>
      <c r="H29" s="2609">
        <v>1</v>
      </c>
      <c r="I29" s="3006" t="str">
        <f>IF(U29="","",INDEX(TERRITORY_MR_LIST,MATCH(U29,TERRITORY_LIST_ID,0)))</f>
        <v/>
      </c>
      <c r="J29" s="2619" t="s">
        <v>19</v>
      </c>
      <c r="K29" s="761"/>
      <c r="L29" s="1699" t="s">
        <v>108</v>
      </c>
      <c r="M29" s="538"/>
      <c r="N29" s="539"/>
      <c r="O29" s="539"/>
      <c r="P29" s="539"/>
      <c r="Q29" s="539"/>
      <c r="R29" s="539"/>
      <c r="S29" s="539"/>
      <c r="T29" s="539"/>
      <c r="U29" s="540"/>
      <c r="V29" s="539"/>
      <c r="W29" s="539"/>
      <c r="X29" s="530"/>
      <c r="Y29" s="530" t="s">
        <v>117</v>
      </c>
      <c r="Z29" s="530">
        <v>1705000</v>
      </c>
      <c r="AA29" s="530"/>
      <c r="AB29" s="530"/>
      <c r="AC29" s="530"/>
      <c r="AD29" s="530"/>
      <c r="AE29" s="530"/>
      <c r="AF29" s="530"/>
      <c r="AG29" s="530"/>
      <c r="AH29" s="530"/>
      <c r="AI29" s="530"/>
      <c r="AJ29" s="530"/>
      <c r="AK29" s="530"/>
      <c r="AL29" s="530"/>
    </row>
    <row r="30" spans="1:80" s="2529" customFormat="1" ht="15" customHeight="1">
      <c r="A30" s="358"/>
      <c r="B30" s="358"/>
      <c r="C30" s="112"/>
      <c r="D30" s="1736"/>
      <c r="E30" s="1736"/>
      <c r="F30" s="1736"/>
      <c r="G30" s="3005"/>
      <c r="H30" s="2609"/>
      <c r="I30" s="3006"/>
      <c r="J30" s="2619"/>
      <c r="K30" s="356"/>
      <c r="L30" s="113"/>
      <c r="M30" s="542" t="s">
        <v>118</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523" customFormat="1" ht="15" customHeight="1">
      <c r="U31" s="121"/>
    </row>
    <row r="32" spans="1:80" s="2523" customFormat="1" ht="15" customHeight="1">
      <c r="A32" s="1732" t="s">
        <v>1913</v>
      </c>
      <c r="B32" s="1732"/>
      <c r="C32" s="1732"/>
      <c r="D32" s="1732"/>
      <c r="E32" s="1732"/>
      <c r="F32" s="1732"/>
      <c r="G32" s="1732"/>
      <c r="H32" s="1732"/>
      <c r="I32" s="1732"/>
      <c r="J32" s="1732"/>
      <c r="K32" s="1732"/>
      <c r="L32" s="1732"/>
      <c r="M32" s="1732"/>
      <c r="N32" s="1732"/>
      <c r="O32" s="1732"/>
      <c r="P32" s="1732"/>
      <c r="Q32" s="1732"/>
      <c r="R32" s="1732"/>
      <c r="S32" s="1732"/>
      <c r="T32" s="1732"/>
      <c r="U32" s="120"/>
      <c r="V32" s="1732"/>
      <c r="W32" s="1732"/>
    </row>
    <row r="33" spans="1:38" s="2523" customFormat="1" ht="15" customHeight="1">
      <c r="U33" s="121"/>
    </row>
    <row r="34" spans="1:38" s="2529" customFormat="1" ht="15" customHeight="1">
      <c r="A34" s="358"/>
      <c r="B34" s="358"/>
      <c r="C34" s="112"/>
      <c r="D34" s="1736"/>
      <c r="E34" s="1736"/>
      <c r="F34" s="1736"/>
      <c r="G34" s="1736"/>
      <c r="H34" s="1736"/>
      <c r="I34" s="1736"/>
      <c r="J34" s="1736"/>
      <c r="K34" s="1716" t="s">
        <v>427</v>
      </c>
      <c r="L34" s="1646" t="s">
        <v>108</v>
      </c>
      <c r="M34" s="740"/>
      <c r="N34" s="741"/>
      <c r="O34" s="539"/>
      <c r="P34" s="539"/>
      <c r="Q34" s="539"/>
      <c r="R34" s="539"/>
      <c r="S34" s="539"/>
      <c r="T34" s="539"/>
      <c r="U34" s="540"/>
      <c r="V34" s="539"/>
      <c r="W34" s="539"/>
      <c r="X34" s="530"/>
      <c r="Y34" s="530" t="s">
        <v>117</v>
      </c>
      <c r="Z34" s="530">
        <v>1705000</v>
      </c>
      <c r="AA34" s="530"/>
      <c r="AB34" s="530"/>
      <c r="AC34" s="530"/>
      <c r="AD34" s="530"/>
      <c r="AE34" s="530"/>
      <c r="AF34" s="530"/>
      <c r="AG34" s="530"/>
      <c r="AH34" s="530"/>
      <c r="AI34" s="530"/>
      <c r="AJ34" s="530"/>
      <c r="AK34" s="530"/>
      <c r="AL34" s="530"/>
    </row>
    <row r="35" spans="1:38" s="2523" customFormat="1" ht="15" customHeight="1">
      <c r="U35" s="121"/>
    </row>
    <row r="36" spans="1:38" s="2523" customFormat="1" ht="15" customHeight="1">
      <c r="U36" s="121"/>
    </row>
    <row r="37" spans="1:38" s="2579" customFormat="1" ht="11.25" customHeight="1">
      <c r="A37" s="1732" t="s">
        <v>1914</v>
      </c>
    </row>
    <row r="38" spans="1:38" ht="11.25" customHeight="1"/>
    <row r="39" spans="1:38" s="2541" customFormat="1" ht="22.5" customHeight="1">
      <c r="A39" s="1708"/>
      <c r="B39" s="392"/>
      <c r="C39" s="784"/>
      <c r="D39" s="375"/>
      <c r="E39" s="785"/>
      <c r="F39" s="1729"/>
      <c r="G39" s="1737"/>
      <c r="H39" s="410"/>
    </row>
    <row r="40" spans="1:38" ht="11.25" customHeight="1"/>
    <row r="41" spans="1:38" s="2579" customFormat="1" ht="11.25" customHeight="1">
      <c r="A41" s="1732" t="s">
        <v>1915</v>
      </c>
    </row>
    <row r="42" spans="1:38" ht="11.25" customHeight="1"/>
    <row r="43" spans="1:38" s="2541" customFormat="1" ht="22.5" customHeight="1">
      <c r="A43" s="392"/>
      <c r="B43" s="392"/>
      <c r="C43" s="392"/>
      <c r="D43" s="375"/>
      <c r="E43" s="785"/>
      <c r="F43" s="786"/>
      <c r="G43" s="1737"/>
      <c r="H43" s="410"/>
    </row>
    <row r="44" spans="1:38" ht="11.25" customHeight="1"/>
    <row r="45" spans="1:38" s="2579" customFormat="1" ht="11.25" customHeight="1">
      <c r="A45" s="1732" t="s">
        <v>1916</v>
      </c>
    </row>
    <row r="46" spans="1:38" ht="11.25" customHeight="1"/>
    <row r="47" spans="1:38" s="2541" customFormat="1" ht="24" customHeight="1">
      <c r="A47" s="2717" t="s">
        <v>315</v>
      </c>
      <c r="B47" s="437"/>
      <c r="C47" s="2728"/>
      <c r="D47" s="380" t="str">
        <f>A47</f>
        <v>5.1</v>
      </c>
      <c r="E47" s="377" t="s">
        <v>316</v>
      </c>
      <c r="F47" s="1888" t="s">
        <v>308</v>
      </c>
      <c r="G47" s="379" t="s">
        <v>317</v>
      </c>
      <c r="H47" s="410"/>
      <c r="I47" s="777"/>
    </row>
    <row r="48" spans="1:38" s="2541" customFormat="1" ht="22.5" customHeight="1">
      <c r="A48" s="2717"/>
      <c r="B48" s="437"/>
      <c r="C48" s="2728"/>
      <c r="D48" s="375" t="str">
        <f>D47&amp;".1"</f>
        <v>5.1.1</v>
      </c>
      <c r="E48" s="374" t="s">
        <v>318</v>
      </c>
      <c r="F48" s="1889" t="s">
        <v>28</v>
      </c>
      <c r="G48" s="409"/>
      <c r="H48" s="410"/>
      <c r="I48" s="777"/>
    </row>
    <row r="49" spans="1:45" s="2541" customFormat="1" ht="22.5" customHeight="1">
      <c r="A49" s="2717"/>
      <c r="B49" s="437"/>
      <c r="C49" s="2728"/>
      <c r="D49" s="375" t="str">
        <f>D47&amp;".2"</f>
        <v>5.1.2</v>
      </c>
      <c r="E49" s="374" t="s">
        <v>319</v>
      </c>
      <c r="F49" s="1649" t="s">
        <v>28</v>
      </c>
      <c r="G49" s="379" t="s">
        <v>320</v>
      </c>
      <c r="H49" s="410"/>
      <c r="I49" s="777"/>
    </row>
    <row r="50" spans="1:45" s="2541" customFormat="1" ht="22.5" customHeight="1">
      <c r="A50" s="2717"/>
      <c r="B50" s="437"/>
      <c r="C50" s="2728"/>
      <c r="D50" s="375" t="str">
        <f>D47&amp;".3"</f>
        <v>5.1.3</v>
      </c>
      <c r="E50" s="374" t="s">
        <v>321</v>
      </c>
      <c r="F50" s="1889" t="s">
        <v>28</v>
      </c>
      <c r="G50" s="409"/>
      <c r="H50" s="410"/>
      <c r="I50" s="777"/>
    </row>
    <row r="51" spans="1:45" s="2541" customFormat="1" ht="22.5" customHeight="1">
      <c r="A51" s="2717"/>
      <c r="B51" s="437"/>
      <c r="C51" s="2728"/>
      <c r="D51" s="375" t="str">
        <f>D47&amp;".4"</f>
        <v>5.1.4</v>
      </c>
      <c r="E51" s="374" t="s">
        <v>322</v>
      </c>
      <c r="F51" s="1889" t="s">
        <v>28</v>
      </c>
      <c r="G51" s="379" t="s">
        <v>323</v>
      </c>
      <c r="H51" s="410"/>
      <c r="I51" s="777"/>
    </row>
    <row r="54" spans="1:45" s="2579" customFormat="1" ht="17.25" customHeight="1">
      <c r="A54" s="1732" t="s">
        <v>1917</v>
      </c>
    </row>
    <row r="56" spans="1:45" s="2512" customFormat="1" ht="18.75" customHeight="1">
      <c r="A56" s="28"/>
      <c r="B56" s="1738"/>
      <c r="C56" s="1738"/>
      <c r="D56" s="1739"/>
      <c r="E56" s="1726"/>
      <c r="F56" s="793">
        <v>13</v>
      </c>
      <c r="G56" s="792"/>
      <c r="H56" s="722"/>
      <c r="I56" s="720"/>
      <c r="J56" s="455" t="s">
        <v>66</v>
      </c>
      <c r="K56" s="1740" t="s">
        <v>28</v>
      </c>
      <c r="L56" s="28"/>
      <c r="M56" s="1554"/>
      <c r="N56" s="1554"/>
      <c r="O56" s="1554"/>
      <c r="P56" s="451" t="s">
        <v>394</v>
      </c>
      <c r="Q56" s="451" t="s">
        <v>395</v>
      </c>
      <c r="R56" s="452" t="s">
        <v>396</v>
      </c>
      <c r="S56" s="1554" t="s">
        <v>397</v>
      </c>
      <c r="T56" s="1554"/>
      <c r="U56" s="1554"/>
      <c r="V56" s="1554"/>
    </row>
    <row r="58" spans="1:45" s="2579" customFormat="1" ht="11.25" customHeight="1">
      <c r="A58" s="1732" t="s">
        <v>1918</v>
      </c>
    </row>
    <row r="60" spans="1:45" s="2513" customFormat="1" ht="14.25" customHeight="1">
      <c r="C60" s="1606"/>
      <c r="D60" s="1784"/>
      <c r="E60" s="1694" t="s">
        <v>28</v>
      </c>
      <c r="F60" s="1783"/>
      <c r="G60" s="781"/>
      <c r="H60" s="1695"/>
      <c r="I60" s="1695"/>
      <c r="J60" s="368"/>
      <c r="K60" s="1778"/>
      <c r="L60" s="367"/>
      <c r="M60" s="1778"/>
      <c r="N60" s="368"/>
      <c r="O60" s="1778"/>
      <c r="P60" s="368"/>
      <c r="Q60" s="1778"/>
      <c r="R60" s="368"/>
      <c r="S60" s="779"/>
      <c r="T60" s="1695"/>
      <c r="U60" s="368"/>
      <c r="V60" s="368"/>
      <c r="W60" s="1782"/>
      <c r="X60" s="1695"/>
      <c r="Y60" s="368"/>
      <c r="Z60" s="368"/>
      <c r="AA60" s="1782"/>
      <c r="AB60" s="1695"/>
      <c r="AC60" s="368"/>
      <c r="AD60" s="1782"/>
      <c r="AE60" s="28"/>
      <c r="AF60" s="28"/>
      <c r="AG60" s="28"/>
      <c r="AH60" s="28"/>
      <c r="AJ60" s="1554"/>
      <c r="AK60" s="1554"/>
      <c r="AL60" s="1554"/>
      <c r="AM60" s="1554"/>
      <c r="AN60" s="1554"/>
      <c r="AO60" s="1554"/>
      <c r="AP60" s="1542" t="s">
        <v>383</v>
      </c>
      <c r="AQ60" s="1542" t="s">
        <v>383</v>
      </c>
      <c r="AR60" s="1554"/>
      <c r="AS60" s="1554"/>
    </row>
    <row r="62" spans="1:45" s="2579" customFormat="1" ht="11.25" customHeight="1">
      <c r="A62" s="1732" t="s">
        <v>1919</v>
      </c>
    </row>
    <row r="64" spans="1:45" s="2566" customFormat="1" ht="15" customHeight="1">
      <c r="A64" s="82" t="s">
        <v>89</v>
      </c>
      <c r="B64" s="64" t="s">
        <v>28</v>
      </c>
      <c r="C64" s="1741"/>
      <c r="D64" s="67"/>
      <c r="E64" s="316"/>
      <c r="F64" s="316"/>
      <c r="G64" s="1720"/>
      <c r="H64" s="1740"/>
      <c r="I64" s="1721"/>
      <c r="K64" s="208"/>
      <c r="L64" s="209"/>
    </row>
    <row r="66" spans="1:30" s="2579" customFormat="1" ht="11.25" customHeight="1">
      <c r="A66" s="1732" t="s">
        <v>1920</v>
      </c>
    </row>
    <row r="68" spans="1:30" s="2513" customFormat="1" ht="14.25" customHeight="1">
      <c r="A68" s="279"/>
      <c r="B68" s="1078"/>
      <c r="C68" s="311"/>
      <c r="D68" s="1727"/>
      <c r="E68" s="810"/>
      <c r="F68" s="1740"/>
      <c r="G68" s="28"/>
      <c r="I68" s="1542"/>
      <c r="J68" s="1542"/>
    </row>
    <row r="70" spans="1:30" s="2579" customFormat="1" ht="11.25" customHeight="1">
      <c r="A70" s="1732" t="s">
        <v>1921</v>
      </c>
    </row>
    <row r="72" spans="1:30" s="2513" customFormat="1" ht="27" customHeight="1">
      <c r="A72" s="1084"/>
      <c r="B72" s="1084"/>
      <c r="C72" s="1084"/>
      <c r="D72" s="1078"/>
      <c r="E72" s="1742"/>
      <c r="F72" s="3017"/>
      <c r="G72" s="3018"/>
      <c r="H72" s="3019" t="s">
        <v>66</v>
      </c>
      <c r="I72" s="3021"/>
      <c r="J72" s="2996"/>
      <c r="K72" s="3023"/>
      <c r="L72" s="2998"/>
      <c r="M72" s="2998"/>
      <c r="N72" s="2999"/>
      <c r="O72" s="2999"/>
      <c r="P72" s="3000" t="e">
        <f>DATEDIF(DATEVALUE(N72),DATEVALUE(O72),"y")&amp;"г. "&amp;DATEDIF(DATEVALUE(N72),DATEVALUE(O72),"ym")&amp;"мес. "&amp;DATEVALUE(O72)-DATE(YEAR(DATEVALUE(O72)),MONTH(DATEVALUE(O72)),1)&amp;"дн. "</f>
        <v>#VALUE!</v>
      </c>
      <c r="Q72" s="2995"/>
      <c r="R72" s="2995"/>
      <c r="S72" s="2995"/>
      <c r="T72" s="2996"/>
      <c r="U72" s="2995"/>
      <c r="V72" s="2995"/>
      <c r="W72" s="2995"/>
      <c r="X72" s="2996"/>
      <c r="Y72" s="2993" t="s">
        <v>66</v>
      </c>
      <c r="Z72" s="1725"/>
      <c r="AA72" s="1709">
        <v>1</v>
      </c>
      <c r="AB72" s="1160"/>
      <c r="AD72" s="1554" t="s">
        <v>1922</v>
      </c>
    </row>
    <row r="73" spans="1:30" s="2513" customFormat="1" ht="10.5" customHeight="1">
      <c r="A73" s="1084"/>
      <c r="B73" s="1084"/>
      <c r="C73" s="1084"/>
      <c r="D73" s="1078"/>
      <c r="E73" s="871"/>
      <c r="F73" s="3017"/>
      <c r="G73" s="3018"/>
      <c r="H73" s="3020"/>
      <c r="I73" s="3022"/>
      <c r="J73" s="2997"/>
      <c r="K73" s="3023"/>
      <c r="L73" s="2998"/>
      <c r="M73" s="2998"/>
      <c r="N73" s="2999"/>
      <c r="O73" s="2999"/>
      <c r="P73" s="3000"/>
      <c r="Q73" s="2995"/>
      <c r="R73" s="2995"/>
      <c r="S73" s="2995"/>
      <c r="T73" s="2997"/>
      <c r="U73" s="2995"/>
      <c r="V73" s="2995"/>
      <c r="W73" s="2995"/>
      <c r="X73" s="2997"/>
      <c r="Y73" s="2994"/>
      <c r="Z73" s="283"/>
      <c r="AA73" s="507"/>
      <c r="AB73" s="587" t="s">
        <v>1923</v>
      </c>
    </row>
    <row r="75" spans="1:30" s="2579" customFormat="1" ht="11.25" customHeight="1">
      <c r="A75" s="1732" t="s">
        <v>1924</v>
      </c>
    </row>
    <row r="77" spans="1:30" s="2513" customFormat="1" ht="27" customHeight="1">
      <c r="A77" s="1084"/>
      <c r="B77" s="1084"/>
      <c r="C77" s="1084"/>
      <c r="D77" s="1078"/>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0"/>
      <c r="AD77" s="1554" t="s">
        <v>1922</v>
      </c>
    </row>
    <row r="79" spans="1:30" s="2579" customFormat="1" ht="11.25" customHeight="1">
      <c r="A79" s="1732" t="s">
        <v>1925</v>
      </c>
    </row>
    <row r="80" spans="1:30" ht="17.25" customHeight="1"/>
    <row r="81" spans="1:58" s="2513"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513" customFormat="1" ht="0.75" customHeight="1">
      <c r="A82" s="1084"/>
      <c r="B82" s="1084"/>
      <c r="C82" s="1084"/>
      <c r="D82" s="1078"/>
      <c r="E82" s="1088"/>
      <c r="F82" s="2985"/>
      <c r="G82" s="2898"/>
      <c r="H82" s="2989" t="s">
        <v>378</v>
      </c>
      <c r="I82" s="2990"/>
      <c r="J82" s="2988"/>
      <c r="K82" s="2988"/>
      <c r="L82" s="2983"/>
      <c r="M82" s="2781"/>
      <c r="N82" s="1948"/>
      <c r="O82" s="1947"/>
      <c r="P82" s="1948"/>
      <c r="Q82" s="1948"/>
      <c r="R82" s="1948"/>
      <c r="S82" s="1948"/>
      <c r="T82" s="1948"/>
      <c r="U82" s="1948"/>
      <c r="V82" s="1948"/>
      <c r="W82" s="1948"/>
      <c r="X82" s="1948"/>
      <c r="Y82" s="1948"/>
      <c r="Z82" s="1948"/>
      <c r="AA82" s="1948"/>
      <c r="AB82" s="1948"/>
      <c r="AC82" s="1948"/>
      <c r="AD82" s="1948"/>
      <c r="AE82" s="1948"/>
      <c r="AF82" s="2987"/>
      <c r="AG82" s="2983"/>
      <c r="AH82" s="2983"/>
      <c r="AI82" s="2987"/>
      <c r="AJ82" s="2983"/>
      <c r="AK82" s="2983"/>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513" customFormat="1" ht="0.75" customHeight="1">
      <c r="A83" s="1084"/>
      <c r="B83" s="1084"/>
      <c r="C83" s="1084"/>
      <c r="D83" s="1078"/>
      <c r="E83" s="1088"/>
      <c r="F83" s="2985"/>
      <c r="G83" s="2898"/>
      <c r="H83" s="2989"/>
      <c r="I83" s="2990"/>
      <c r="J83" s="2988"/>
      <c r="K83" s="2988"/>
      <c r="L83" s="2983"/>
      <c r="M83" s="2781"/>
      <c r="N83" s="2991"/>
      <c r="O83" s="2992"/>
      <c r="P83" s="3024"/>
      <c r="Q83" s="2988"/>
      <c r="R83" s="2988"/>
      <c r="S83" s="2988"/>
      <c r="T83" s="2988"/>
      <c r="U83" s="2988"/>
      <c r="V83" s="2988"/>
      <c r="W83" s="2988"/>
      <c r="X83" s="2988"/>
      <c r="Y83" s="2988"/>
      <c r="Z83" s="1949"/>
      <c r="AA83" s="1950"/>
      <c r="AB83" s="1950"/>
      <c r="AC83" s="1951"/>
      <c r="AD83" s="1951"/>
      <c r="AE83" s="1952"/>
      <c r="AF83" s="2987"/>
      <c r="AG83" s="2983"/>
      <c r="AH83" s="2983"/>
      <c r="AI83" s="2987"/>
      <c r="AJ83" s="2983"/>
      <c r="AK83" s="2983"/>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513" customFormat="1" ht="0.75" customHeight="1">
      <c r="A84" s="1084"/>
      <c r="B84" s="1084"/>
      <c r="C84" s="1084"/>
      <c r="D84" s="1078"/>
      <c r="E84" s="1088"/>
      <c r="F84" s="2985"/>
      <c r="G84" s="2898"/>
      <c r="H84" s="2989"/>
      <c r="I84" s="2990"/>
      <c r="J84" s="2988"/>
      <c r="K84" s="2988"/>
      <c r="L84" s="2983"/>
      <c r="M84" s="2781"/>
      <c r="N84" s="2991"/>
      <c r="O84" s="2992"/>
      <c r="P84" s="3025"/>
      <c r="Q84" s="2988"/>
      <c r="R84" s="2988"/>
      <c r="S84" s="2988"/>
      <c r="T84" s="2988"/>
      <c r="U84" s="2988"/>
      <c r="V84" s="2988"/>
      <c r="W84" s="2988"/>
      <c r="X84" s="2988"/>
      <c r="Y84" s="2988"/>
      <c r="Z84" s="1953"/>
      <c r="AA84" s="1954"/>
      <c r="AB84" s="1955"/>
      <c r="AC84" s="1956"/>
      <c r="AD84" s="1955"/>
      <c r="AE84" s="1956"/>
      <c r="AF84" s="2987"/>
      <c r="AG84" s="2983"/>
      <c r="AH84" s="2983"/>
      <c r="AI84" s="2987"/>
      <c r="AJ84" s="2983"/>
      <c r="AK84" s="2983"/>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513" customFormat="1" ht="0.75" customHeight="1">
      <c r="A85" s="1084"/>
      <c r="B85" s="1084"/>
      <c r="C85" s="1084"/>
      <c r="D85" s="1078"/>
      <c r="E85" s="1088"/>
      <c r="F85" s="2985"/>
      <c r="G85" s="2898"/>
      <c r="H85" s="2989"/>
      <c r="I85" s="2990"/>
      <c r="J85" s="2988"/>
      <c r="K85" s="2988"/>
      <c r="L85" s="2983"/>
      <c r="M85" s="2781"/>
      <c r="N85" s="2991"/>
      <c r="O85" s="2992"/>
      <c r="P85" s="3026"/>
      <c r="Q85" s="2988"/>
      <c r="R85" s="2988"/>
      <c r="S85" s="2988"/>
      <c r="T85" s="2988"/>
      <c r="U85" s="2988"/>
      <c r="V85" s="2988"/>
      <c r="W85" s="2988"/>
      <c r="X85" s="2988"/>
      <c r="Y85" s="2988"/>
      <c r="Z85" s="1949"/>
      <c r="AA85" s="1950"/>
      <c r="AB85" s="1957"/>
      <c r="AC85" s="1951"/>
      <c r="AD85" s="1951"/>
      <c r="AE85" s="1958"/>
      <c r="AF85" s="2987"/>
      <c r="AG85" s="2983"/>
      <c r="AH85" s="2983"/>
      <c r="AI85" s="2987"/>
      <c r="AJ85" s="2983"/>
      <c r="AK85" s="2983"/>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513" customFormat="1" ht="0.75" customHeight="1">
      <c r="A86" s="1084"/>
      <c r="B86" s="1084"/>
      <c r="C86" s="1084"/>
      <c r="D86" s="1078"/>
      <c r="E86" s="1088"/>
      <c r="F86" s="2985"/>
      <c r="G86" s="2898"/>
      <c r="H86" s="2989"/>
      <c r="I86" s="2990"/>
      <c r="J86" s="2988"/>
      <c r="K86" s="2988"/>
      <c r="L86" s="2983"/>
      <c r="M86" s="2781"/>
      <c r="N86" s="1950"/>
      <c r="O86" s="1950"/>
      <c r="P86" s="1957"/>
      <c r="Q86" s="1950"/>
      <c r="R86" s="1950"/>
      <c r="S86" s="1950"/>
      <c r="T86" s="1950"/>
      <c r="U86" s="1950"/>
      <c r="V86" s="1950"/>
      <c r="W86" s="1950"/>
      <c r="X86" s="1950"/>
      <c r="Y86" s="1950"/>
      <c r="Z86" s="1950"/>
      <c r="AA86" s="1950"/>
      <c r="AB86" s="1950"/>
      <c r="AC86" s="1950"/>
      <c r="AD86" s="1950"/>
      <c r="AE86" s="1959"/>
      <c r="AF86" s="2987"/>
      <c r="AG86" s="2983"/>
      <c r="AH86" s="2983"/>
      <c r="AI86" s="2987"/>
      <c r="AJ86" s="2983"/>
      <c r="AK86" s="2983"/>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513" customFormat="1" ht="12" customHeight="1">
      <c r="A87" s="1084"/>
      <c r="B87" s="1084"/>
      <c r="C87" s="1084"/>
      <c r="D87" s="1078"/>
      <c r="E87" s="1088"/>
      <c r="F87" s="2986"/>
      <c r="G87" s="1108"/>
      <c r="H87" s="1108"/>
      <c r="I87" s="2984" t="s">
        <v>1926</v>
      </c>
      <c r="J87" s="2984"/>
      <c r="K87" s="2984"/>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579" customFormat="1" ht="11.25" customHeight="1">
      <c r="A89" s="1732" t="s">
        <v>1927</v>
      </c>
    </row>
    <row r="91" spans="1:58" s="2513" customFormat="1" ht="11.25" customHeight="1">
      <c r="A91" s="1084"/>
      <c r="B91" s="1084"/>
      <c r="C91" s="1084"/>
      <c r="D91" s="1078"/>
      <c r="E91" s="1088"/>
      <c r="F91" s="1744"/>
      <c r="G91" s="1745"/>
      <c r="H91" s="1745"/>
      <c r="I91" s="1681"/>
      <c r="J91" s="1681"/>
      <c r="K91" s="1746"/>
      <c r="L91" s="1681"/>
      <c r="M91" s="1745"/>
      <c r="N91" s="2964"/>
      <c r="O91" s="3027">
        <v>1</v>
      </c>
      <c r="P91" s="2966" t="s">
        <v>19</v>
      </c>
      <c r="Q91" s="2880" t="s">
        <v>28</v>
      </c>
      <c r="R91" s="2880" t="s">
        <v>28</v>
      </c>
      <c r="S91" s="2880" t="s">
        <v>28</v>
      </c>
      <c r="T91" s="2880" t="s">
        <v>28</v>
      </c>
      <c r="U91" s="2880" t="s">
        <v>28</v>
      </c>
      <c r="V91" s="2880" t="s">
        <v>28</v>
      </c>
      <c r="W91" s="2880" t="s">
        <v>28</v>
      </c>
      <c r="X91" s="2880" t="s">
        <v>28</v>
      </c>
      <c r="Y91" s="2880"/>
      <c r="Z91" s="1093"/>
      <c r="AA91" s="1094"/>
      <c r="AB91" s="1094"/>
      <c r="AC91" s="1098"/>
      <c r="AD91" s="1098"/>
      <c r="AE91" s="1098"/>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513" customFormat="1" ht="11.25" customHeight="1">
      <c r="A92" s="1084"/>
      <c r="B92" s="1084"/>
      <c r="C92" s="1084"/>
      <c r="D92" s="1078"/>
      <c r="E92" s="1088"/>
      <c r="F92" s="1744"/>
      <c r="G92" s="1745"/>
      <c r="H92" s="1745"/>
      <c r="I92" s="1682"/>
      <c r="J92" s="1682"/>
      <c r="K92" s="1746"/>
      <c r="L92" s="1682"/>
      <c r="M92" s="1745"/>
      <c r="N92" s="2964"/>
      <c r="O92" s="3027"/>
      <c r="P92" s="2967"/>
      <c r="Q92" s="2880"/>
      <c r="R92" s="2880"/>
      <c r="S92" s="2969"/>
      <c r="T92" s="2880"/>
      <c r="U92" s="2880"/>
      <c r="V92" s="2880"/>
      <c r="W92" s="2880"/>
      <c r="X92" s="2880"/>
      <c r="Y92" s="2880"/>
      <c r="Z92" s="1743"/>
      <c r="AA92" s="1711">
        <v>1</v>
      </c>
      <c r="AB92" s="1097"/>
      <c r="AC92" s="1087"/>
      <c r="AD92" s="1097">
        <f>AB92</f>
        <v>0</v>
      </c>
      <c r="AE92" s="659"/>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513" customFormat="1" ht="11.25" customHeight="1">
      <c r="A93" s="1084"/>
      <c r="B93" s="1084"/>
      <c r="C93" s="1084"/>
      <c r="D93" s="1078"/>
      <c r="E93" s="1088"/>
      <c r="F93" s="1744"/>
      <c r="G93" s="1745"/>
      <c r="H93" s="1745"/>
      <c r="I93" s="1683"/>
      <c r="J93" s="1683"/>
      <c r="K93" s="1746"/>
      <c r="L93" s="1683"/>
      <c r="M93" s="1745"/>
      <c r="N93" s="2964"/>
      <c r="O93" s="3027"/>
      <c r="P93" s="2968"/>
      <c r="Q93" s="2880"/>
      <c r="R93" s="2880"/>
      <c r="S93" s="2969"/>
      <c r="T93" s="2880"/>
      <c r="U93" s="2880"/>
      <c r="V93" s="2880"/>
      <c r="W93" s="2880"/>
      <c r="X93" s="2880"/>
      <c r="Y93" s="2880"/>
      <c r="Z93" s="1093"/>
      <c r="AA93" s="1094"/>
      <c r="AB93" s="1159" t="s">
        <v>1928</v>
      </c>
      <c r="AC93" s="1098"/>
      <c r="AD93" s="1098"/>
      <c r="AE93" s="1098"/>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579" customFormat="1" ht="11.25" customHeight="1">
      <c r="A95" s="1732" t="s">
        <v>1929</v>
      </c>
    </row>
    <row r="97" spans="1:184" s="2513" customFormat="1" ht="11.25" customHeight="1">
      <c r="A97" s="1084"/>
      <c r="B97" s="1084"/>
      <c r="C97" s="1084"/>
      <c r="D97" s="1078"/>
      <c r="E97" s="1088"/>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7"/>
      <c r="AC97" s="1087"/>
      <c r="AD97" s="1097">
        <f>AB97</f>
        <v>0</v>
      </c>
      <c r="AE97" s="1087"/>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579" customFormat="1" ht="11.25" customHeight="1">
      <c r="A99" s="1732" t="s">
        <v>1930</v>
      </c>
    </row>
    <row r="101" spans="1:184" s="2513" customFormat="1" ht="11.25" customHeight="1">
      <c r="A101" s="1084"/>
      <c r="B101" s="1084"/>
      <c r="C101" s="1084"/>
      <c r="D101" s="1078"/>
      <c r="E101" s="1088"/>
      <c r="F101" s="1744"/>
      <c r="G101" s="1745"/>
      <c r="H101" s="2898" t="s">
        <v>108</v>
      </c>
      <c r="I101" s="2970"/>
      <c r="J101" s="2944"/>
      <c r="K101" s="2971"/>
      <c r="L101" s="2619" t="s">
        <v>19</v>
      </c>
      <c r="M101" s="2620"/>
      <c r="N101" s="1898"/>
      <c r="O101" s="1095" t="s">
        <v>378</v>
      </c>
      <c r="P101" s="1096"/>
      <c r="Q101" s="1096"/>
      <c r="R101" s="1096"/>
      <c r="S101" s="1096"/>
      <c r="T101" s="1096"/>
      <c r="U101" s="1096"/>
      <c r="V101" s="1096"/>
      <c r="W101" s="1096"/>
      <c r="X101" s="1096"/>
      <c r="Y101" s="1096"/>
      <c r="Z101" s="1096"/>
      <c r="AA101" s="1096"/>
      <c r="AB101" s="1096"/>
      <c r="AC101" s="1096"/>
      <c r="AD101" s="1096"/>
      <c r="AE101" s="1096"/>
      <c r="AF101" s="2962"/>
      <c r="AG101" s="2963"/>
      <c r="AH101" s="2963"/>
      <c r="AI101" s="2962"/>
      <c r="AJ101" s="2963"/>
      <c r="AK101" s="2963"/>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513" customFormat="1" ht="11.25" customHeight="1">
      <c r="A102" s="1084"/>
      <c r="B102" s="1084"/>
      <c r="C102" s="1084"/>
      <c r="D102" s="1078"/>
      <c r="E102" s="1088"/>
      <c r="F102" s="1744"/>
      <c r="G102" s="1745"/>
      <c r="H102" s="2898"/>
      <c r="I102" s="2970"/>
      <c r="J102" s="2944"/>
      <c r="K102" s="2971"/>
      <c r="L102" s="2619"/>
      <c r="M102" s="2620"/>
      <c r="N102" s="2964"/>
      <c r="O102" s="2965">
        <v>1</v>
      </c>
      <c r="P102" s="2966" t="s">
        <v>19</v>
      </c>
      <c r="Q102" s="2880" t="s">
        <v>28</v>
      </c>
      <c r="R102" s="2880" t="s">
        <v>28</v>
      </c>
      <c r="S102" s="2880" t="s">
        <v>28</v>
      </c>
      <c r="T102" s="2880" t="s">
        <v>28</v>
      </c>
      <c r="U102" s="2880" t="s">
        <v>28</v>
      </c>
      <c r="V102" s="2880" t="s">
        <v>28</v>
      </c>
      <c r="W102" s="2880" t="s">
        <v>28</v>
      </c>
      <c r="X102" s="2880" t="s">
        <v>28</v>
      </c>
      <c r="Y102" s="2880"/>
      <c r="Z102" s="1093"/>
      <c r="AA102" s="1094"/>
      <c r="AB102" s="1094"/>
      <c r="AC102" s="1098"/>
      <c r="AD102" s="1098"/>
      <c r="AE102" s="1099"/>
      <c r="AF102" s="2962"/>
      <c r="AG102" s="2963"/>
      <c r="AH102" s="2963"/>
      <c r="AI102" s="2962"/>
      <c r="AJ102" s="2963"/>
      <c r="AK102" s="2963"/>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513" customFormat="1" ht="11.25" customHeight="1">
      <c r="A103" s="1084"/>
      <c r="B103" s="1084"/>
      <c r="C103" s="1084"/>
      <c r="D103" s="1078"/>
      <c r="E103" s="1088"/>
      <c r="F103" s="1744"/>
      <c r="G103" s="1745"/>
      <c r="H103" s="2898"/>
      <c r="I103" s="2970"/>
      <c r="J103" s="2944"/>
      <c r="K103" s="2971"/>
      <c r="L103" s="2619"/>
      <c r="M103" s="2620"/>
      <c r="N103" s="2964"/>
      <c r="O103" s="2965"/>
      <c r="P103" s="2967"/>
      <c r="Q103" s="2880"/>
      <c r="R103" s="2880"/>
      <c r="S103" s="2969"/>
      <c r="T103" s="2880"/>
      <c r="U103" s="2880"/>
      <c r="V103" s="2880"/>
      <c r="W103" s="2880"/>
      <c r="X103" s="2880"/>
      <c r="Y103" s="2880"/>
      <c r="Z103" s="1743"/>
      <c r="AA103" s="1711">
        <v>1</v>
      </c>
      <c r="AB103" s="1097"/>
      <c r="AC103" s="1087"/>
      <c r="AD103" s="1097">
        <f>AB103</f>
        <v>0</v>
      </c>
      <c r="AE103" s="1087"/>
      <c r="AF103" s="2962"/>
      <c r="AG103" s="2963"/>
      <c r="AH103" s="2963"/>
      <c r="AI103" s="2962"/>
      <c r="AJ103" s="2963"/>
      <c r="AK103" s="2963"/>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513" customFormat="1" ht="11.25" customHeight="1">
      <c r="A104" s="1084"/>
      <c r="B104" s="1084"/>
      <c r="C104" s="1084"/>
      <c r="D104" s="1078"/>
      <c r="E104" s="1088"/>
      <c r="F104" s="1744"/>
      <c r="G104" s="1745"/>
      <c r="H104" s="2898"/>
      <c r="I104" s="2970"/>
      <c r="J104" s="2944"/>
      <c r="K104" s="2971"/>
      <c r="L104" s="2619"/>
      <c r="M104" s="2620"/>
      <c r="N104" s="2964"/>
      <c r="O104" s="2965"/>
      <c r="P104" s="2968"/>
      <c r="Q104" s="2880"/>
      <c r="R104" s="2880"/>
      <c r="S104" s="2969"/>
      <c r="T104" s="2880"/>
      <c r="U104" s="2880"/>
      <c r="V104" s="2880"/>
      <c r="W104" s="2880"/>
      <c r="X104" s="2880"/>
      <c r="Y104" s="2880"/>
      <c r="Z104" s="1093"/>
      <c r="AA104" s="1094"/>
      <c r="AB104" s="1159" t="s">
        <v>1928</v>
      </c>
      <c r="AC104" s="1098"/>
      <c r="AD104" s="1098"/>
      <c r="AE104" s="1100"/>
      <c r="AF104" s="2962"/>
      <c r="AG104" s="2963"/>
      <c r="AH104" s="2963"/>
      <c r="AI104" s="2962"/>
      <c r="AJ104" s="2963"/>
      <c r="AK104" s="2963"/>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513" customFormat="1" ht="11.25" customHeight="1">
      <c r="A105" s="1084"/>
      <c r="B105" s="1084"/>
      <c r="C105" s="1084"/>
      <c r="D105" s="1078"/>
      <c r="E105" s="1088"/>
      <c r="F105" s="1744"/>
      <c r="G105" s="1745"/>
      <c r="H105" s="2898"/>
      <c r="I105" s="2970"/>
      <c r="J105" s="2944"/>
      <c r="K105" s="2971"/>
      <c r="L105" s="2619"/>
      <c r="M105" s="2620"/>
      <c r="N105" s="1093"/>
      <c r="O105" s="1094"/>
      <c r="P105" s="1086" t="s">
        <v>1931</v>
      </c>
      <c r="Q105" s="1094"/>
      <c r="R105" s="1094"/>
      <c r="S105" s="1094"/>
      <c r="T105" s="1094"/>
      <c r="U105" s="1094"/>
      <c r="V105" s="1094"/>
      <c r="W105" s="1094"/>
      <c r="X105" s="1094"/>
      <c r="Y105" s="1094"/>
      <c r="Z105" s="1094"/>
      <c r="AA105" s="1094"/>
      <c r="AB105" s="1094"/>
      <c r="AC105" s="1094"/>
      <c r="AD105" s="1094"/>
      <c r="AE105" s="1101"/>
      <c r="AF105" s="2962"/>
      <c r="AG105" s="2963"/>
      <c r="AH105" s="2963"/>
      <c r="AI105" s="2962"/>
      <c r="AJ105" s="2963"/>
      <c r="AK105" s="2963"/>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579" customFormat="1" ht="11.25" customHeight="1">
      <c r="A107" s="1732" t="s">
        <v>1932</v>
      </c>
    </row>
    <row r="108" spans="1:184" ht="17.25" customHeight="1"/>
    <row r="109" spans="1:184" s="2560"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560" customFormat="1" ht="24.75" customHeight="1">
      <c r="B110" s="847"/>
      <c r="C110" s="848"/>
      <c r="D110" s="848"/>
      <c r="E110" s="1750"/>
      <c r="F110" s="1126">
        <v>1</v>
      </c>
      <c r="G110" s="1127"/>
      <c r="H110" s="1128"/>
      <c r="I110" s="1894"/>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560" customFormat="1" ht="12" customHeight="1">
      <c r="A111" s="848"/>
      <c r="B111" s="847"/>
      <c r="C111" s="848"/>
      <c r="D111" s="848"/>
      <c r="E111" s="848"/>
      <c r="F111" s="1131"/>
      <c r="G111" s="1717" t="s">
        <v>1933</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579" customFormat="1" ht="11.25" customHeight="1">
      <c r="A113" s="1732" t="s">
        <v>1934</v>
      </c>
    </row>
    <row r="115" spans="1:83" s="2523" customFormat="1" ht="15" customHeight="1">
      <c r="A115" s="558"/>
      <c r="B115" s="559"/>
      <c r="C115" s="559"/>
      <c r="D115" s="3014" t="s">
        <v>108</v>
      </c>
      <c r="E115" s="2857" t="s">
        <v>104</v>
      </c>
      <c r="F115" s="2858"/>
      <c r="G115" s="2859"/>
      <c r="H115" s="2863" t="str">
        <f>IF(A115="","",INDEX(DIFFERENTIATION_UNMERGE_VD,MATCH(A115,DIFFERENTIATION_ID_DIFF,0)))</f>
        <v/>
      </c>
      <c r="I115" s="2863"/>
      <c r="J115" s="2863"/>
      <c r="K115" s="2863"/>
      <c r="L115" s="2863"/>
      <c r="M115" s="2863"/>
      <c r="N115" s="2863"/>
      <c r="O115" s="2863"/>
      <c r="P115" s="2863"/>
      <c r="Q115" s="2863"/>
      <c r="R115" s="2863"/>
      <c r="S115" s="654"/>
      <c r="T115" s="651"/>
      <c r="U115" s="560"/>
      <c r="V115" s="560"/>
      <c r="W115" s="561"/>
      <c r="X115" s="561"/>
      <c r="Y115" s="561"/>
      <c r="Z115" s="561"/>
      <c r="AA115" s="562"/>
      <c r="AB115" s="563"/>
      <c r="AC115" s="2855"/>
      <c r="AD115" s="564"/>
      <c r="AE115" s="565" t="s">
        <v>28</v>
      </c>
      <c r="AF115" s="565"/>
      <c r="AG115" s="566" t="s">
        <v>611</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523" customFormat="1" ht="15" customHeight="1">
      <c r="A116" s="558"/>
      <c r="B116" s="559"/>
      <c r="C116" s="559"/>
      <c r="D116" s="3015"/>
      <c r="E116" s="2857" t="s">
        <v>566</v>
      </c>
      <c r="F116" s="2858"/>
      <c r="G116" s="2859"/>
      <c r="H116" s="2863" t="str">
        <f>IF(A115="","",INDEX(DIFFERENTIATION_UNMERGE_AREA,MATCH(A115,DIFFERENTIATION_ID_DIFF,0)))</f>
        <v/>
      </c>
      <c r="I116" s="2863"/>
      <c r="J116" s="2863"/>
      <c r="K116" s="2863"/>
      <c r="L116" s="2863"/>
      <c r="M116" s="2863"/>
      <c r="N116" s="2863"/>
      <c r="O116" s="2863"/>
      <c r="P116" s="2863"/>
      <c r="Q116" s="2863"/>
      <c r="R116" s="2863"/>
      <c r="S116" s="654"/>
      <c r="T116" s="651"/>
      <c r="U116" s="560"/>
      <c r="V116" s="560"/>
      <c r="W116" s="561"/>
      <c r="X116" s="561"/>
      <c r="Y116" s="561"/>
      <c r="Z116" s="561"/>
      <c r="AA116" s="562"/>
      <c r="AB116" s="563"/>
      <c r="AC116" s="2855"/>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523" customFormat="1" ht="15" customHeight="1">
      <c r="A117" s="558"/>
      <c r="B117" s="559"/>
      <c r="C117" s="559"/>
      <c r="D117" s="3015"/>
      <c r="E117" s="2857" t="s">
        <v>567</v>
      </c>
      <c r="F117" s="2858"/>
      <c r="G117" s="2859"/>
      <c r="H117" s="2863" t="str">
        <f>IF(A115="","",INDEX(DIFFERENTIATION_UNMERGE_SYSTEM,MATCH(A115,DIFFERENTIATION_ID_DIFF,0)))</f>
        <v/>
      </c>
      <c r="I117" s="2863"/>
      <c r="J117" s="2863"/>
      <c r="K117" s="2863"/>
      <c r="L117" s="2863"/>
      <c r="M117" s="2863"/>
      <c r="N117" s="2863"/>
      <c r="O117" s="2863"/>
      <c r="P117" s="2863"/>
      <c r="Q117" s="2863"/>
      <c r="R117" s="2863"/>
      <c r="S117" s="654"/>
      <c r="T117" s="651"/>
      <c r="U117" s="560"/>
      <c r="V117" s="560"/>
      <c r="W117" s="561"/>
      <c r="X117" s="561"/>
      <c r="Y117" s="561"/>
      <c r="Z117" s="561"/>
      <c r="AA117" s="562"/>
      <c r="AB117" s="563"/>
      <c r="AC117" s="2855"/>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523" customFormat="1" ht="24.75" customHeight="1">
      <c r="A118" s="1723"/>
      <c r="B118" s="1078"/>
      <c r="C118" s="347"/>
      <c r="D118" s="3015"/>
      <c r="E118" s="2856" t="s">
        <v>612</v>
      </c>
      <c r="F118" s="2856"/>
      <c r="G118" s="2856"/>
      <c r="H118" s="2856"/>
      <c r="I118" s="2856"/>
      <c r="J118" s="2856"/>
      <c r="K118" s="2856"/>
      <c r="L118" s="2856"/>
      <c r="M118" s="2856"/>
      <c r="N118" s="2856"/>
      <c r="O118" s="2856"/>
      <c r="P118" s="2856"/>
      <c r="Q118" s="493">
        <f>SUMIF(T119:T120,"i",Q119:Q120)</f>
        <v>0</v>
      </c>
      <c r="R118" s="939"/>
      <c r="S118" s="1715" t="s">
        <v>613</v>
      </c>
      <c r="T118" s="652" t="s">
        <v>614</v>
      </c>
      <c r="U118" s="2777">
        <v>1</v>
      </c>
      <c r="V118" s="2777" t="s">
        <v>577</v>
      </c>
      <c r="W118" s="1078"/>
      <c r="X118" s="1078"/>
      <c r="Y118" s="1078"/>
      <c r="Z118" s="1078"/>
      <c r="AA118" s="1554"/>
      <c r="AB118" s="1078"/>
      <c r="AC118" s="2855"/>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523" customFormat="1" ht="11.25" hidden="1" customHeight="1">
      <c r="A119" s="1710"/>
      <c r="B119" s="1554"/>
      <c r="C119" s="1554"/>
      <c r="D119" s="3015"/>
      <c r="E119" s="570"/>
      <c r="F119" s="570">
        <v>0</v>
      </c>
      <c r="G119" s="570"/>
      <c r="H119" s="570"/>
      <c r="I119" s="570"/>
      <c r="J119" s="570"/>
      <c r="K119" s="570"/>
      <c r="L119" s="570"/>
      <c r="M119" s="570"/>
      <c r="N119" s="570"/>
      <c r="O119" s="570"/>
      <c r="P119" s="570"/>
      <c r="Q119" s="570"/>
      <c r="R119" s="570"/>
      <c r="S119" s="571"/>
      <c r="T119" s="653"/>
      <c r="U119" s="2777"/>
      <c r="V119" s="2777"/>
      <c r="W119" s="1554"/>
      <c r="X119" s="1554"/>
      <c r="Y119" s="1554"/>
      <c r="Z119" s="1554"/>
      <c r="AA119" s="1554"/>
      <c r="AB119" s="1078"/>
      <c r="AC119" s="2855"/>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523" customFormat="1" ht="11.25" customHeight="1">
      <c r="A120" s="1723"/>
      <c r="B120" s="1078"/>
      <c r="C120" s="347"/>
      <c r="D120" s="3015"/>
      <c r="E120" s="584" t="s">
        <v>28</v>
      </c>
      <c r="F120" s="1086" t="s">
        <v>28</v>
      </c>
      <c r="G120" s="1086" t="s">
        <v>1935</v>
      </c>
      <c r="H120" s="586" t="s">
        <v>28</v>
      </c>
      <c r="I120" s="586"/>
      <c r="J120" s="586"/>
      <c r="K120" s="586"/>
      <c r="L120" s="586"/>
      <c r="M120" s="586"/>
      <c r="N120" s="586"/>
      <c r="O120" s="586"/>
      <c r="P120" s="586"/>
      <c r="Q120" s="586"/>
      <c r="R120" s="587"/>
      <c r="S120" s="588"/>
      <c r="T120" s="653"/>
      <c r="U120" s="2777"/>
      <c r="V120" s="2777"/>
      <c r="W120" s="1078"/>
      <c r="X120" s="1078"/>
      <c r="Y120" s="1078"/>
      <c r="Z120" s="1078"/>
      <c r="AA120" s="1554"/>
      <c r="AB120" s="1078"/>
      <c r="AC120" s="2855"/>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523" customFormat="1" ht="24.75" customHeight="1">
      <c r="A121" s="1723"/>
      <c r="B121" s="1078"/>
      <c r="C121" s="347"/>
      <c r="D121" s="3015"/>
      <c r="E121" s="2856" t="s">
        <v>615</v>
      </c>
      <c r="F121" s="2856"/>
      <c r="G121" s="2856"/>
      <c r="H121" s="2856"/>
      <c r="I121" s="2856"/>
      <c r="J121" s="2856"/>
      <c r="K121" s="2856"/>
      <c r="L121" s="2856"/>
      <c r="M121" s="2856"/>
      <c r="N121" s="2856"/>
      <c r="O121" s="2856"/>
      <c r="P121" s="2856"/>
      <c r="Q121" s="493">
        <f>SUMIF(T122:T123,"i",Q122:Q123)</f>
        <v>0</v>
      </c>
      <c r="R121" s="939"/>
      <c r="S121" s="1715" t="s">
        <v>616</v>
      </c>
      <c r="T121" s="652" t="s">
        <v>614</v>
      </c>
      <c r="U121" s="2777">
        <v>1</v>
      </c>
      <c r="V121" s="2777" t="s">
        <v>577</v>
      </c>
      <c r="W121" s="1078"/>
      <c r="X121" s="1078"/>
      <c r="Y121" s="1078"/>
      <c r="Z121" s="1078"/>
      <c r="AA121" s="1554"/>
      <c r="AB121" s="1078"/>
      <c r="AC121" s="1713"/>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523" customFormat="1" ht="11.25" hidden="1" customHeight="1">
      <c r="A122" s="1710"/>
      <c r="B122" s="1554"/>
      <c r="C122" s="1554"/>
      <c r="D122" s="3015"/>
      <c r="E122" s="570"/>
      <c r="F122" s="570">
        <v>0</v>
      </c>
      <c r="G122" s="570"/>
      <c r="H122" s="570"/>
      <c r="I122" s="570"/>
      <c r="J122" s="570"/>
      <c r="K122" s="570"/>
      <c r="L122" s="570"/>
      <c r="M122" s="570"/>
      <c r="N122" s="570"/>
      <c r="O122" s="570"/>
      <c r="P122" s="570"/>
      <c r="Q122" s="570"/>
      <c r="R122" s="570"/>
      <c r="S122" s="571"/>
      <c r="T122" s="653"/>
      <c r="U122" s="2777"/>
      <c r="V122" s="2777"/>
      <c r="W122" s="1554"/>
      <c r="X122" s="1554"/>
      <c r="Y122" s="1554"/>
      <c r="Z122" s="1554"/>
      <c r="AA122" s="1554"/>
      <c r="AB122" s="1078"/>
      <c r="AC122" s="1713"/>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523" customFormat="1" ht="11.25" customHeight="1">
      <c r="A123" s="1723"/>
      <c r="B123" s="1078"/>
      <c r="C123" s="347"/>
      <c r="D123" s="3016"/>
      <c r="E123" s="584" t="s">
        <v>28</v>
      </c>
      <c r="F123" s="1086" t="s">
        <v>28</v>
      </c>
      <c r="G123" s="1086" t="s">
        <v>1935</v>
      </c>
      <c r="H123" s="586" t="s">
        <v>28</v>
      </c>
      <c r="I123" s="586"/>
      <c r="J123" s="586"/>
      <c r="K123" s="586"/>
      <c r="L123" s="586"/>
      <c r="M123" s="586"/>
      <c r="N123" s="586"/>
      <c r="O123" s="586"/>
      <c r="P123" s="586"/>
      <c r="Q123" s="586"/>
      <c r="R123" s="587"/>
      <c r="S123" s="588"/>
      <c r="T123" s="653"/>
      <c r="U123" s="2777"/>
      <c r="V123" s="2777"/>
      <c r="W123" s="1078"/>
      <c r="X123" s="1078"/>
      <c r="Y123" s="1078"/>
      <c r="Z123" s="1078"/>
      <c r="AA123" s="1554"/>
      <c r="AB123" s="1078"/>
      <c r="AC123" s="1713"/>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579" customFormat="1" ht="11.25" customHeight="1">
      <c r="A125" s="1732" t="s">
        <v>1936</v>
      </c>
    </row>
    <row r="127" spans="1:83" s="2523" customFormat="1" ht="15" customHeight="1">
      <c r="A127" s="558"/>
      <c r="B127" s="559"/>
      <c r="C127" s="559"/>
      <c r="D127" s="3014" t="s">
        <v>108</v>
      </c>
      <c r="E127" s="2857" t="s">
        <v>104</v>
      </c>
      <c r="F127" s="2858"/>
      <c r="G127" s="2859"/>
      <c r="H127" s="2863" t="str">
        <f>IF(A127="","",INDEX(DIFFERENTIATION_UNMERGE_VD,MATCH(A127,DIFFERENTIATION_ID_DIFF,0)))</f>
        <v/>
      </c>
      <c r="I127" s="2863"/>
      <c r="J127" s="2863"/>
      <c r="K127" s="2863"/>
      <c r="L127" s="2863"/>
      <c r="M127" s="2863"/>
      <c r="N127" s="2863"/>
      <c r="O127" s="2863"/>
      <c r="P127" s="2863"/>
      <c r="Q127" s="2863"/>
      <c r="R127" s="2863"/>
      <c r="S127" s="654"/>
      <c r="T127" s="651"/>
      <c r="U127" s="560"/>
      <c r="V127" s="560"/>
      <c r="W127" s="561"/>
      <c r="X127" s="561"/>
      <c r="Y127" s="561"/>
      <c r="Z127" s="561"/>
      <c r="AA127" s="562"/>
      <c r="AB127" s="563"/>
      <c r="AC127" s="2855"/>
      <c r="AD127" s="564"/>
      <c r="AE127" s="565" t="s">
        <v>28</v>
      </c>
      <c r="AF127" s="565"/>
      <c r="AG127" s="566" t="s">
        <v>611</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523" customFormat="1" ht="15" customHeight="1">
      <c r="A128" s="558"/>
      <c r="B128" s="559"/>
      <c r="C128" s="559"/>
      <c r="D128" s="3015"/>
      <c r="E128" s="2857" t="s">
        <v>566</v>
      </c>
      <c r="F128" s="2858"/>
      <c r="G128" s="2859"/>
      <c r="H128" s="2863" t="str">
        <f>IF(A127="","",INDEX(DIFFERENTIATION_UNMERGE_AREA,MATCH(A127,DIFFERENTIATION_ID_DIFF,0)))</f>
        <v/>
      </c>
      <c r="I128" s="2863"/>
      <c r="J128" s="2863"/>
      <c r="K128" s="2863"/>
      <c r="L128" s="2863"/>
      <c r="M128" s="2863"/>
      <c r="N128" s="2863"/>
      <c r="O128" s="2863"/>
      <c r="P128" s="2863"/>
      <c r="Q128" s="2863"/>
      <c r="R128" s="2863"/>
      <c r="S128" s="654"/>
      <c r="T128" s="651"/>
      <c r="U128" s="560"/>
      <c r="V128" s="560"/>
      <c r="W128" s="561"/>
      <c r="X128" s="561"/>
      <c r="Y128" s="561"/>
      <c r="Z128" s="561"/>
      <c r="AA128" s="562"/>
      <c r="AB128" s="563"/>
      <c r="AC128" s="2855"/>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523" customFormat="1" ht="15" customHeight="1">
      <c r="A129" s="558"/>
      <c r="B129" s="559"/>
      <c r="C129" s="559"/>
      <c r="D129" s="3015"/>
      <c r="E129" s="2857" t="s">
        <v>567</v>
      </c>
      <c r="F129" s="2858"/>
      <c r="G129" s="2859"/>
      <c r="H129" s="2863" t="str">
        <f>IF(A127="","",INDEX(DIFFERENTIATION_UNMERGE_SYSTEM,MATCH(A127,DIFFERENTIATION_ID_DIFF,0)))</f>
        <v/>
      </c>
      <c r="I129" s="2863"/>
      <c r="J129" s="2863"/>
      <c r="K129" s="2863"/>
      <c r="L129" s="2863"/>
      <c r="M129" s="2863"/>
      <c r="N129" s="2863"/>
      <c r="O129" s="2863"/>
      <c r="P129" s="2863"/>
      <c r="Q129" s="2863"/>
      <c r="R129" s="2863"/>
      <c r="S129" s="654"/>
      <c r="T129" s="651"/>
      <c r="U129" s="560"/>
      <c r="V129" s="560"/>
      <c r="W129" s="561"/>
      <c r="X129" s="561"/>
      <c r="Y129" s="561"/>
      <c r="Z129" s="561"/>
      <c r="AA129" s="562"/>
      <c r="AB129" s="563"/>
      <c r="AC129" s="2855"/>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523" customFormat="1" ht="24.75" customHeight="1">
      <c r="A130" s="1723"/>
      <c r="B130" s="1078"/>
      <c r="C130" s="347"/>
      <c r="D130" s="3015"/>
      <c r="E130" s="2856" t="s">
        <v>612</v>
      </c>
      <c r="F130" s="2856"/>
      <c r="G130" s="2856"/>
      <c r="H130" s="2856"/>
      <c r="I130" s="2856"/>
      <c r="J130" s="2856"/>
      <c r="K130" s="2856"/>
      <c r="L130" s="2856"/>
      <c r="M130" s="2856"/>
      <c r="N130" s="2856"/>
      <c r="O130" s="2856"/>
      <c r="P130" s="2856"/>
      <c r="Q130" s="493">
        <f>SUMIF(T131:T132,"i",Q131:Q132)</f>
        <v>0</v>
      </c>
      <c r="R130" s="939"/>
      <c r="S130" s="1715" t="s">
        <v>613</v>
      </c>
      <c r="T130" s="652" t="s">
        <v>614</v>
      </c>
      <c r="U130" s="2777">
        <v>1</v>
      </c>
      <c r="V130" s="2777" t="s">
        <v>577</v>
      </c>
      <c r="W130" s="1078"/>
      <c r="X130" s="1078"/>
      <c r="Y130" s="1078"/>
      <c r="Z130" s="1078"/>
      <c r="AA130" s="1554"/>
      <c r="AB130" s="1078"/>
      <c r="AC130" s="2855"/>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523" customFormat="1" ht="11.25" hidden="1" customHeight="1">
      <c r="A131" s="1710"/>
      <c r="B131" s="1554"/>
      <c r="C131" s="1554"/>
      <c r="D131" s="3015"/>
      <c r="E131" s="570"/>
      <c r="F131" s="570">
        <v>0</v>
      </c>
      <c r="G131" s="570"/>
      <c r="H131" s="570"/>
      <c r="I131" s="570"/>
      <c r="J131" s="570"/>
      <c r="K131" s="570"/>
      <c r="L131" s="570"/>
      <c r="M131" s="570"/>
      <c r="N131" s="570"/>
      <c r="O131" s="570"/>
      <c r="P131" s="570"/>
      <c r="Q131" s="570"/>
      <c r="R131" s="570"/>
      <c r="S131" s="571"/>
      <c r="T131" s="653"/>
      <c r="U131" s="2777"/>
      <c r="V131" s="2777"/>
      <c r="W131" s="1554"/>
      <c r="X131" s="1554"/>
      <c r="Y131" s="1554"/>
      <c r="Z131" s="1554"/>
      <c r="AA131" s="1554"/>
      <c r="AB131" s="1078"/>
      <c r="AC131" s="2855"/>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523" customFormat="1" ht="11.25" customHeight="1">
      <c r="A132" s="1723"/>
      <c r="B132" s="1078"/>
      <c r="C132" s="347"/>
      <c r="D132" s="3015"/>
      <c r="E132" s="584" t="s">
        <v>28</v>
      </c>
      <c r="F132" s="1086" t="s">
        <v>28</v>
      </c>
      <c r="G132" s="1086" t="s">
        <v>1935</v>
      </c>
      <c r="H132" s="586" t="s">
        <v>28</v>
      </c>
      <c r="I132" s="586"/>
      <c r="J132" s="586"/>
      <c r="K132" s="586"/>
      <c r="L132" s="586"/>
      <c r="M132" s="586"/>
      <c r="N132" s="586"/>
      <c r="O132" s="586"/>
      <c r="P132" s="586"/>
      <c r="Q132" s="586"/>
      <c r="R132" s="587"/>
      <c r="S132" s="588"/>
      <c r="T132" s="653"/>
      <c r="U132" s="2777"/>
      <c r="V132" s="2777"/>
      <c r="W132" s="1078"/>
      <c r="X132" s="1078"/>
      <c r="Y132" s="1078"/>
      <c r="Z132" s="1078"/>
      <c r="AA132" s="1554"/>
      <c r="AB132" s="1078"/>
      <c r="AC132" s="2855"/>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533" customFormat="1" ht="5.25" hidden="1" customHeight="1">
      <c r="A133" s="1710"/>
      <c r="B133" s="1554"/>
      <c r="C133" s="1554"/>
      <c r="D133" s="3015"/>
      <c r="E133" s="961"/>
      <c r="F133" s="961"/>
      <c r="G133" s="961"/>
      <c r="H133" s="961"/>
      <c r="I133" s="961"/>
      <c r="J133" s="961"/>
      <c r="K133" s="961"/>
      <c r="L133" s="961"/>
      <c r="M133" s="961"/>
      <c r="N133" s="961"/>
      <c r="O133" s="961"/>
      <c r="P133" s="961"/>
      <c r="Q133" s="962"/>
      <c r="R133" s="963"/>
      <c r="S133" s="964"/>
      <c r="T133" s="652" t="s">
        <v>614</v>
      </c>
      <c r="U133" s="2777">
        <v>1</v>
      </c>
      <c r="V133" s="2777" t="s">
        <v>577</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533" customFormat="1" ht="5.25" hidden="1" customHeight="1">
      <c r="A134" s="1710"/>
      <c r="B134" s="1554"/>
      <c r="C134" s="1554"/>
      <c r="D134" s="3015"/>
      <c r="E134" s="570"/>
      <c r="F134" s="570"/>
      <c r="G134" s="570"/>
      <c r="H134" s="570"/>
      <c r="I134" s="570"/>
      <c r="J134" s="570"/>
      <c r="K134" s="570"/>
      <c r="L134" s="570"/>
      <c r="M134" s="570"/>
      <c r="N134" s="570"/>
      <c r="O134" s="570"/>
      <c r="P134" s="570"/>
      <c r="Q134" s="570"/>
      <c r="R134" s="570"/>
      <c r="S134" s="571"/>
      <c r="T134" s="653"/>
      <c r="U134" s="2777"/>
      <c r="V134" s="2777"/>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533" customFormat="1" ht="5.25" hidden="1" customHeight="1">
      <c r="A135" s="1710"/>
      <c r="B135" s="1554"/>
      <c r="C135" s="1554"/>
      <c r="D135" s="3016"/>
      <c r="E135" s="965"/>
      <c r="F135" s="966"/>
      <c r="G135" s="966"/>
      <c r="H135" s="967"/>
      <c r="I135" s="967"/>
      <c r="J135" s="967"/>
      <c r="K135" s="967"/>
      <c r="L135" s="967"/>
      <c r="M135" s="967"/>
      <c r="N135" s="967"/>
      <c r="O135" s="967"/>
      <c r="P135" s="967"/>
      <c r="Q135" s="967"/>
      <c r="R135" s="870"/>
      <c r="S135" s="968"/>
      <c r="T135" s="653"/>
      <c r="U135" s="2777"/>
      <c r="V135" s="2777"/>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1"/>
    </row>
    <row r="137" spans="1:83" s="2579" customFormat="1" ht="11.25" customHeight="1">
      <c r="A137" s="1732" t="s">
        <v>1937</v>
      </c>
    </row>
    <row r="139" spans="1:83" s="2523" customFormat="1" ht="45" customHeight="1">
      <c r="A139" s="1723"/>
      <c r="B139" s="1078"/>
      <c r="C139" s="347"/>
      <c r="D139" s="28"/>
      <c r="E139" s="3009"/>
      <c r="F139" s="2620" t="s">
        <v>108</v>
      </c>
      <c r="G139" s="3012" t="s">
        <v>28</v>
      </c>
      <c r="H139" s="225"/>
      <c r="I139" s="572" t="s">
        <v>108</v>
      </c>
      <c r="J139" s="1724" t="s">
        <v>1938</v>
      </c>
      <c r="K139" s="573" t="s">
        <v>548</v>
      </c>
      <c r="L139" s="2738" t="s">
        <v>548</v>
      </c>
      <c r="M139" s="2672"/>
      <c r="N139" s="573" t="s">
        <v>548</v>
      </c>
      <c r="O139" s="573" t="s">
        <v>548</v>
      </c>
      <c r="P139" s="573" t="s">
        <v>548</v>
      </c>
      <c r="Q139" s="574">
        <f>SUM(Q140:Q142)</f>
        <v>0</v>
      </c>
      <c r="R139" s="574">
        <f>IF(R136=0,0,(Q136/R136)*100)</f>
        <v>0</v>
      </c>
      <c r="S139" s="2699"/>
      <c r="T139" s="652" t="s">
        <v>614</v>
      </c>
      <c r="U139" s="28"/>
      <c r="V139" s="28"/>
      <c r="AC139" s="28"/>
    </row>
    <row r="140" spans="1:83" s="2523" customFormat="1" ht="11.25" customHeight="1">
      <c r="A140" s="1723"/>
      <c r="B140" s="1078"/>
      <c r="C140" s="347"/>
      <c r="D140" s="28"/>
      <c r="E140" s="3010"/>
      <c r="F140" s="2620"/>
      <c r="G140" s="3012"/>
      <c r="H140" s="2638"/>
      <c r="I140" s="2898" t="s">
        <v>1023</v>
      </c>
      <c r="J140" s="3007"/>
      <c r="K140" s="3008"/>
      <c r="L140" s="575"/>
      <c r="M140" s="576" t="s">
        <v>108</v>
      </c>
      <c r="N140" s="1712"/>
      <c r="O140" s="577"/>
      <c r="P140" s="578"/>
      <c r="Q140" s="577"/>
      <c r="R140" s="579">
        <v>0</v>
      </c>
      <c r="S140" s="2699"/>
      <c r="T140" s="652"/>
      <c r="U140" s="28"/>
      <c r="V140" s="28"/>
      <c r="AC140" s="28"/>
    </row>
    <row r="141" spans="1:83" s="2523" customFormat="1" ht="11.25" customHeight="1">
      <c r="A141" s="1723"/>
      <c r="B141" s="1078"/>
      <c r="C141" s="347"/>
      <c r="D141" s="28"/>
      <c r="E141" s="3010"/>
      <c r="F141" s="2620"/>
      <c r="G141" s="3012"/>
      <c r="H141" s="2638"/>
      <c r="I141" s="2898"/>
      <c r="J141" s="3007"/>
      <c r="K141" s="2959"/>
      <c r="L141" s="580"/>
      <c r="M141" s="581"/>
      <c r="N141" s="582" t="s">
        <v>1939</v>
      </c>
      <c r="O141" s="582"/>
      <c r="P141" s="582"/>
      <c r="Q141" s="582"/>
      <c r="R141" s="583"/>
      <c r="S141" s="2699"/>
      <c r="T141" s="652"/>
      <c r="U141" s="28"/>
      <c r="V141" s="28"/>
      <c r="AC141" s="28"/>
    </row>
    <row r="142" spans="1:83" s="2523" customFormat="1" ht="11.25" customHeight="1">
      <c r="A142" s="1723"/>
      <c r="B142" s="1078"/>
      <c r="C142" s="347"/>
      <c r="D142" s="28"/>
      <c r="E142" s="3011"/>
      <c r="F142" s="2620"/>
      <c r="G142" s="3013"/>
      <c r="H142" s="580" t="s">
        <v>28</v>
      </c>
      <c r="I142" s="581"/>
      <c r="J142" s="582" t="s">
        <v>1940</v>
      </c>
      <c r="K142" s="582"/>
      <c r="L142" s="582"/>
      <c r="M142" s="582"/>
      <c r="N142" s="582"/>
      <c r="O142" s="582"/>
      <c r="P142" s="582"/>
      <c r="Q142" s="582"/>
      <c r="R142" s="583"/>
      <c r="S142" s="2699"/>
      <c r="T142" s="652"/>
      <c r="U142" s="28"/>
      <c r="V142" s="28"/>
      <c r="AC142" s="28"/>
    </row>
    <row r="147" spans="1:43" s="2523" customFormat="1" ht="11.25" customHeight="1">
      <c r="A147" s="1723"/>
      <c r="B147" s="1078"/>
      <c r="C147" s="347"/>
      <c r="D147" s="28"/>
      <c r="E147" s="1745"/>
      <c r="F147" s="1745"/>
      <c r="G147" s="1745"/>
      <c r="H147" s="2638"/>
      <c r="I147" s="2898" t="s">
        <v>1023</v>
      </c>
      <c r="J147" s="3007"/>
      <c r="K147" s="3008"/>
      <c r="L147" s="575"/>
      <c r="M147" s="576" t="s">
        <v>108</v>
      </c>
      <c r="N147" s="1712"/>
      <c r="O147" s="577"/>
      <c r="P147" s="578"/>
      <c r="Q147" s="577"/>
      <c r="R147" s="579">
        <v>0</v>
      </c>
      <c r="S147" s="28"/>
      <c r="T147" s="652"/>
      <c r="U147" s="28"/>
      <c r="V147" s="28"/>
      <c r="AC147" s="28"/>
    </row>
    <row r="148" spans="1:43" s="2523" customFormat="1" ht="11.25" customHeight="1">
      <c r="A148" s="1723"/>
      <c r="B148" s="1078"/>
      <c r="C148" s="347"/>
      <c r="D148" s="28"/>
      <c r="E148" s="1745"/>
      <c r="F148" s="1745"/>
      <c r="G148" s="1745"/>
      <c r="H148" s="2638"/>
      <c r="I148" s="2898"/>
      <c r="J148" s="3007"/>
      <c r="K148" s="2959"/>
      <c r="L148" s="580"/>
      <c r="M148" s="581"/>
      <c r="N148" s="582" t="s">
        <v>1939</v>
      </c>
      <c r="O148" s="582"/>
      <c r="P148" s="582"/>
      <c r="Q148" s="582"/>
      <c r="R148" s="583"/>
      <c r="S148" s="28"/>
      <c r="T148" s="652"/>
      <c r="U148" s="28"/>
      <c r="V148" s="28"/>
      <c r="AC148" s="28"/>
    </row>
    <row r="150" spans="1:43" s="2523" customFormat="1" ht="11.25" customHeight="1">
      <c r="A150" s="1723"/>
      <c r="B150" s="1078"/>
      <c r="C150" s="347"/>
      <c r="D150" s="28"/>
      <c r="E150" s="1752"/>
      <c r="F150" s="1750"/>
      <c r="G150" s="1750"/>
      <c r="H150" s="1753"/>
      <c r="I150" s="1745"/>
      <c r="J150" s="1746"/>
      <c r="K150" s="1746"/>
      <c r="L150" s="575"/>
      <c r="M150" s="576" t="s">
        <v>108</v>
      </c>
      <c r="N150" s="1712"/>
      <c r="O150" s="577"/>
      <c r="P150" s="578"/>
      <c r="Q150" s="577"/>
      <c r="R150" s="579">
        <v>0</v>
      </c>
      <c r="S150" s="28"/>
      <c r="T150" s="652"/>
      <c r="U150" s="28"/>
      <c r="V150" s="28"/>
      <c r="AC150" s="28"/>
    </row>
    <row r="152" spans="1:43" s="2579" customFormat="1" ht="17.25" customHeight="1">
      <c r="A152" s="1732" t="s">
        <v>1941</v>
      </c>
    </row>
    <row r="153" spans="1:43" ht="17.25" customHeight="1">
      <c r="G153" s="1754"/>
      <c r="H153" s="1754"/>
      <c r="I153" s="1754"/>
      <c r="M153" s="1750"/>
    </row>
    <row r="154" spans="1:43" s="2529" customFormat="1" ht="17.25" customHeight="1">
      <c r="A154" s="1755"/>
      <c r="C154" s="1757"/>
      <c r="D154" s="2683"/>
      <c r="E154" s="2660"/>
      <c r="F154" s="2662"/>
      <c r="G154" s="2681"/>
      <c r="H154" s="2683"/>
      <c r="I154" s="2683">
        <v>1</v>
      </c>
      <c r="J154" s="2651"/>
      <c r="K154" s="2647" t="s">
        <v>66</v>
      </c>
      <c r="L154" s="2620"/>
      <c r="M154" s="2620" t="s">
        <v>108</v>
      </c>
      <c r="N154" s="2960" t="str">
        <f>IF(Z154="","",INDEX(TERRITORY_MR_LIST,MATCH(Z154,TERRITORY_LIST_ID,0)))</f>
        <v/>
      </c>
      <c r="O154" s="2647" t="s">
        <v>66</v>
      </c>
      <c r="P154" s="2620"/>
      <c r="Q154" s="2620" t="s">
        <v>108</v>
      </c>
      <c r="R154" s="2959" t="s">
        <v>28</v>
      </c>
      <c r="S154" s="2619" t="s">
        <v>66</v>
      </c>
      <c r="T154" s="1728"/>
      <c r="U154" s="1728" t="s">
        <v>108</v>
      </c>
      <c r="V154" s="1758" t="s">
        <v>28</v>
      </c>
      <c r="W154" s="1718"/>
      <c r="Y154" s="1185"/>
      <c r="Z154" s="1185"/>
      <c r="AA154" s="1185"/>
      <c r="AB154" s="1185"/>
      <c r="AC154" s="1185"/>
      <c r="AD154" s="1185"/>
      <c r="AE154" s="1185"/>
      <c r="AF154" s="1185"/>
      <c r="AG154" s="1185"/>
      <c r="AH154" s="1185"/>
      <c r="AI154" s="1185"/>
      <c r="AJ154" s="1185"/>
      <c r="AK154" s="1185"/>
      <c r="AL154" s="1759"/>
      <c r="AM154" s="1759"/>
      <c r="AN154" s="1185"/>
      <c r="AO154" s="1185"/>
      <c r="AP154" s="1185"/>
      <c r="AQ154" s="1185"/>
    </row>
    <row r="155" spans="1:43" s="2529" customFormat="1" ht="17.25" customHeight="1">
      <c r="A155" s="1755"/>
      <c r="C155" s="1760"/>
      <c r="D155" s="2683"/>
      <c r="E155" s="2660"/>
      <c r="F155" s="2663"/>
      <c r="G155" s="2681"/>
      <c r="H155" s="2683"/>
      <c r="I155" s="2683"/>
      <c r="J155" s="2651"/>
      <c r="K155" s="2648"/>
      <c r="L155" s="2620"/>
      <c r="M155" s="2620"/>
      <c r="N155" s="2960"/>
      <c r="O155" s="2648"/>
      <c r="P155" s="2620"/>
      <c r="Q155" s="2620"/>
      <c r="R155" s="2959"/>
      <c r="S155" s="2619"/>
      <c r="T155" s="253"/>
      <c r="U155" s="254"/>
      <c r="V155" s="254" t="s">
        <v>160</v>
      </c>
      <c r="W155" s="255"/>
      <c r="Y155" s="1177"/>
      <c r="Z155" s="1177"/>
      <c r="AA155" s="1177"/>
      <c r="AB155" s="1177"/>
      <c r="AC155" s="1177"/>
      <c r="AD155" s="1177"/>
      <c r="AE155" s="1177"/>
      <c r="AF155" s="1177"/>
      <c r="AG155" s="1177"/>
      <c r="AH155" s="1177"/>
      <c r="AI155" s="1177"/>
      <c r="AJ155" s="1177"/>
      <c r="AK155" s="1177"/>
    </row>
    <row r="156" spans="1:43" s="2529" customFormat="1" ht="17.25" customHeight="1">
      <c r="A156" s="1755"/>
      <c r="C156" s="1760"/>
      <c r="D156" s="2649"/>
      <c r="E156" s="2661"/>
      <c r="F156" s="2663"/>
      <c r="G156" s="2682"/>
      <c r="H156" s="2649"/>
      <c r="I156" s="2649"/>
      <c r="J156" s="2652"/>
      <c r="K156" s="2648"/>
      <c r="L156" s="2649"/>
      <c r="M156" s="2649"/>
      <c r="N156" s="2961"/>
      <c r="O156" s="2624"/>
      <c r="P156" s="253"/>
      <c r="Q156" s="254"/>
      <c r="R156" s="254" t="s">
        <v>161</v>
      </c>
      <c r="S156" s="1761"/>
      <c r="T156" s="1761"/>
      <c r="U156" s="1761"/>
      <c r="V156" s="1761"/>
      <c r="W156" s="255"/>
      <c r="Y156" s="1177"/>
      <c r="Z156" s="1177"/>
      <c r="AA156" s="1177"/>
      <c r="AB156" s="1177"/>
      <c r="AC156" s="1177"/>
      <c r="AD156" s="1177"/>
      <c r="AE156" s="1177"/>
      <c r="AF156" s="1177"/>
      <c r="AG156" s="1177"/>
      <c r="AH156" s="1177"/>
      <c r="AI156" s="1177"/>
      <c r="AJ156" s="1177"/>
      <c r="AK156" s="1177"/>
    </row>
    <row r="157" spans="1:43" s="2529" customFormat="1" ht="17.25" customHeight="1">
      <c r="A157" s="1755"/>
      <c r="C157" s="1760"/>
      <c r="D157" s="2649"/>
      <c r="E157" s="2661"/>
      <c r="F157" s="2663"/>
      <c r="G157" s="2682"/>
      <c r="H157" s="2649"/>
      <c r="I157" s="2649"/>
      <c r="J157" s="2652"/>
      <c r="K157" s="2624"/>
      <c r="L157" s="253"/>
      <c r="M157" s="254"/>
      <c r="N157" s="254" t="s">
        <v>162</v>
      </c>
      <c r="O157" s="254"/>
      <c r="P157" s="254"/>
      <c r="Q157" s="254"/>
      <c r="R157" s="254"/>
      <c r="S157" s="1761"/>
      <c r="T157" s="1761"/>
      <c r="U157" s="1761"/>
      <c r="V157" s="1761"/>
      <c r="W157" s="255"/>
      <c r="Y157" s="1177"/>
      <c r="Z157" s="1177"/>
      <c r="AA157" s="1177"/>
      <c r="AB157" s="1177"/>
      <c r="AC157" s="1177"/>
      <c r="AD157" s="1177"/>
      <c r="AE157" s="1177"/>
      <c r="AF157" s="1177"/>
      <c r="AG157" s="1177"/>
      <c r="AH157" s="1177"/>
      <c r="AI157" s="1177"/>
      <c r="AJ157" s="1177"/>
      <c r="AK157" s="1177"/>
    </row>
    <row r="158" spans="1:43" s="2529" customFormat="1" ht="17.25" customHeight="1">
      <c r="A158" s="1755"/>
      <c r="C158" s="1760"/>
      <c r="D158" s="2649"/>
      <c r="E158" s="2661"/>
      <c r="F158" s="2664"/>
      <c r="G158" s="2682"/>
      <c r="H158" s="253"/>
      <c r="I158" s="254"/>
      <c r="J158" s="254" t="s">
        <v>163</v>
      </c>
      <c r="K158" s="254"/>
      <c r="L158" s="254"/>
      <c r="M158" s="254"/>
      <c r="N158" s="254"/>
      <c r="O158" s="254"/>
      <c r="P158" s="254"/>
      <c r="Q158" s="254"/>
      <c r="R158" s="254"/>
      <c r="S158" s="1761"/>
      <c r="T158" s="1761"/>
      <c r="U158" s="1761"/>
      <c r="V158" s="1761"/>
      <c r="W158" s="255"/>
      <c r="Y158" s="1177"/>
      <c r="Z158" s="1177"/>
      <c r="AA158" s="1177"/>
      <c r="AB158" s="1177"/>
      <c r="AC158" s="1177"/>
      <c r="AD158" s="1177"/>
      <c r="AE158" s="1177"/>
      <c r="AF158" s="1177"/>
      <c r="AG158" s="1177"/>
      <c r="AH158" s="1177"/>
      <c r="AI158" s="1177"/>
      <c r="AJ158" s="1177"/>
      <c r="AK158" s="1177"/>
    </row>
    <row r="159" spans="1:43" ht="17.25" customHeight="1">
      <c r="G159" s="1754"/>
      <c r="H159" s="1754"/>
      <c r="I159" s="1754"/>
      <c r="M159" s="1750"/>
    </row>
    <row r="160" spans="1:43" s="2529" customFormat="1" ht="17.25" customHeight="1">
      <c r="A160" s="1755"/>
      <c r="C160" s="1757"/>
      <c r="D160" s="1745"/>
      <c r="E160" s="1762"/>
      <c r="F160" s="1701"/>
      <c r="G160" s="1763"/>
      <c r="H160" s="2683"/>
      <c r="I160" s="2683">
        <v>1</v>
      </c>
      <c r="J160" s="2651"/>
      <c r="K160" s="2647" t="s">
        <v>66</v>
      </c>
      <c r="L160" s="2620"/>
      <c r="M160" s="2620" t="s">
        <v>108</v>
      </c>
      <c r="N160" s="2960" t="str">
        <f>IF(Z160="","",INDEX(TERRITORY_MR_LIST,MATCH(Z160,TERRITORY_LIST_ID,0)))</f>
        <v/>
      </c>
      <c r="O160" s="2647" t="s">
        <v>66</v>
      </c>
      <c r="P160" s="2620"/>
      <c r="Q160" s="2620" t="s">
        <v>108</v>
      </c>
      <c r="R160" s="2959" t="s">
        <v>28</v>
      </c>
      <c r="S160" s="2619" t="s">
        <v>66</v>
      </c>
      <c r="T160" s="1728"/>
      <c r="U160" s="1728" t="s">
        <v>108</v>
      </c>
      <c r="V160" s="1758" t="s">
        <v>28</v>
      </c>
      <c r="W160" s="1718"/>
      <c r="Y160" s="1185"/>
      <c r="Z160" s="1185"/>
      <c r="AA160" s="1185"/>
      <c r="AB160" s="1185"/>
      <c r="AC160" s="1185"/>
      <c r="AD160" s="1185"/>
      <c r="AE160" s="1185"/>
      <c r="AF160" s="1185"/>
      <c r="AG160" s="1185"/>
      <c r="AH160" s="1185"/>
      <c r="AI160" s="1185"/>
      <c r="AJ160" s="1185"/>
      <c r="AK160" s="1185"/>
      <c r="AL160" s="1759"/>
      <c r="AM160" s="1759"/>
      <c r="AN160" s="1185"/>
      <c r="AO160" s="1185"/>
      <c r="AP160" s="1185"/>
      <c r="AQ160" s="1185"/>
    </row>
    <row r="161" spans="1:43" s="2529" customFormat="1" ht="17.25" customHeight="1">
      <c r="A161" s="1755"/>
      <c r="C161" s="1760"/>
      <c r="D161" s="1745"/>
      <c r="E161" s="1762"/>
      <c r="F161" s="1701"/>
      <c r="G161" s="1763"/>
      <c r="H161" s="2683"/>
      <c r="I161" s="2683"/>
      <c r="J161" s="2651"/>
      <c r="K161" s="2648"/>
      <c r="L161" s="2620"/>
      <c r="M161" s="2620"/>
      <c r="N161" s="2960"/>
      <c r="O161" s="2648"/>
      <c r="P161" s="2620"/>
      <c r="Q161" s="2620"/>
      <c r="R161" s="2959"/>
      <c r="S161" s="2619"/>
      <c r="T161" s="253"/>
      <c r="U161" s="254"/>
      <c r="V161" s="254" t="s">
        <v>160</v>
      </c>
      <c r="W161" s="255"/>
      <c r="Y161" s="1177"/>
      <c r="Z161" s="1177"/>
      <c r="AA161" s="1177"/>
      <c r="AB161" s="1177"/>
      <c r="AC161" s="1177"/>
      <c r="AD161" s="1177"/>
      <c r="AE161" s="1177"/>
      <c r="AF161" s="1177"/>
      <c r="AG161" s="1177"/>
      <c r="AH161" s="1177"/>
      <c r="AI161" s="1177"/>
      <c r="AJ161" s="1177"/>
      <c r="AK161" s="1177"/>
    </row>
    <row r="162" spans="1:43" s="2529" customFormat="1" ht="17.25" customHeight="1">
      <c r="A162" s="1755"/>
      <c r="C162" s="1760"/>
      <c r="D162" s="1745"/>
      <c r="E162" s="1762"/>
      <c r="F162" s="1701"/>
      <c r="G162" s="1763"/>
      <c r="H162" s="2649"/>
      <c r="I162" s="2649"/>
      <c r="J162" s="2652"/>
      <c r="K162" s="2648"/>
      <c r="L162" s="2649"/>
      <c r="M162" s="2649"/>
      <c r="N162" s="2961"/>
      <c r="O162" s="2624"/>
      <c r="P162" s="253"/>
      <c r="Q162" s="254"/>
      <c r="R162" s="254" t="s">
        <v>161</v>
      </c>
      <c r="S162" s="1761"/>
      <c r="T162" s="1761"/>
      <c r="U162" s="1761"/>
      <c r="V162" s="1761"/>
      <c r="W162" s="255"/>
      <c r="Y162" s="1177"/>
      <c r="Z162" s="1177"/>
      <c r="AA162" s="1177"/>
      <c r="AB162" s="1177"/>
      <c r="AC162" s="1177"/>
      <c r="AD162" s="1177"/>
      <c r="AE162" s="1177"/>
      <c r="AF162" s="1177"/>
      <c r="AG162" s="1177"/>
      <c r="AH162" s="1177"/>
      <c r="AI162" s="1177"/>
      <c r="AJ162" s="1177"/>
      <c r="AK162" s="1177"/>
    </row>
    <row r="163" spans="1:43" s="2529" customFormat="1" ht="17.25" customHeight="1">
      <c r="A163" s="1755"/>
      <c r="C163" s="1760"/>
      <c r="D163" s="1745"/>
      <c r="E163" s="1762"/>
      <c r="F163" s="1701"/>
      <c r="G163" s="1763"/>
      <c r="H163" s="2649"/>
      <c r="I163" s="2649"/>
      <c r="J163" s="2652"/>
      <c r="K163" s="2624"/>
      <c r="L163" s="253"/>
      <c r="M163" s="254"/>
      <c r="N163" s="254" t="s">
        <v>162</v>
      </c>
      <c r="O163" s="254"/>
      <c r="P163" s="254"/>
      <c r="Q163" s="254"/>
      <c r="R163" s="254"/>
      <c r="S163" s="1761"/>
      <c r="T163" s="1761"/>
      <c r="U163" s="1761"/>
      <c r="V163" s="1761"/>
      <c r="W163" s="255"/>
      <c r="Y163" s="1177"/>
      <c r="Z163" s="1177"/>
      <c r="AA163" s="1177"/>
      <c r="AB163" s="1177"/>
      <c r="AC163" s="1177"/>
      <c r="AD163" s="1177"/>
      <c r="AE163" s="1177"/>
      <c r="AF163" s="1177"/>
      <c r="AG163" s="1177"/>
      <c r="AH163" s="1177"/>
      <c r="AI163" s="1177"/>
      <c r="AJ163" s="1177"/>
      <c r="AK163" s="1177"/>
    </row>
    <row r="164" spans="1:43" ht="17.25" customHeight="1">
      <c r="G164" s="1754"/>
      <c r="H164" s="1754"/>
      <c r="I164" s="1754"/>
      <c r="M164" s="1750"/>
    </row>
    <row r="165" spans="1:43" s="2529" customFormat="1" ht="17.25" customHeight="1">
      <c r="A165" s="1755"/>
      <c r="C165" s="1757"/>
      <c r="D165" s="1745"/>
      <c r="E165" s="1762"/>
      <c r="F165" s="1701"/>
      <c r="G165" s="1763"/>
      <c r="H165" s="1745"/>
      <c r="I165" s="1745"/>
      <c r="J165" s="1764"/>
      <c r="K165" s="1677"/>
      <c r="L165" s="2620"/>
      <c r="M165" s="2620" t="s">
        <v>108</v>
      </c>
      <c r="N165" s="2960" t="str">
        <f>IF(Z165="","",INDEX(TERRITORY_MR_LIST,MATCH(Z165,TERRITORY_LIST_ID,0)))</f>
        <v/>
      </c>
      <c r="O165" s="2647" t="s">
        <v>66</v>
      </c>
      <c r="P165" s="2620"/>
      <c r="Q165" s="2620" t="s">
        <v>108</v>
      </c>
      <c r="R165" s="2959" t="s">
        <v>28</v>
      </c>
      <c r="S165" s="2619" t="s">
        <v>66</v>
      </c>
      <c r="T165" s="1728"/>
      <c r="U165" s="1728" t="s">
        <v>108</v>
      </c>
      <c r="V165" s="1758" t="s">
        <v>28</v>
      </c>
      <c r="W165" s="1718"/>
      <c r="Y165" s="1185"/>
      <c r="Z165" s="1185"/>
      <c r="AA165" s="1185"/>
      <c r="AB165" s="1185"/>
      <c r="AC165" s="1185"/>
      <c r="AD165" s="1185"/>
      <c r="AE165" s="1185"/>
      <c r="AF165" s="1185"/>
      <c r="AG165" s="1185"/>
      <c r="AH165" s="1185"/>
      <c r="AI165" s="1185"/>
      <c r="AJ165" s="1185"/>
      <c r="AK165" s="1185"/>
      <c r="AL165" s="1759"/>
      <c r="AM165" s="1759"/>
      <c r="AN165" s="1185"/>
      <c r="AO165" s="1185"/>
      <c r="AP165" s="1185"/>
      <c r="AQ165" s="1185"/>
    </row>
    <row r="166" spans="1:43" s="2529" customFormat="1" ht="17.25" customHeight="1">
      <c r="A166" s="1755"/>
      <c r="C166" s="1760"/>
      <c r="D166" s="1745"/>
      <c r="E166" s="1762"/>
      <c r="F166" s="1701"/>
      <c r="G166" s="1763"/>
      <c r="H166" s="1745"/>
      <c r="I166" s="1745"/>
      <c r="J166" s="1764"/>
      <c r="K166" s="1677"/>
      <c r="L166" s="2620"/>
      <c r="M166" s="2620"/>
      <c r="N166" s="2960"/>
      <c r="O166" s="2648"/>
      <c r="P166" s="2620"/>
      <c r="Q166" s="2620"/>
      <c r="R166" s="2959"/>
      <c r="S166" s="2619"/>
      <c r="T166" s="253"/>
      <c r="U166" s="254"/>
      <c r="V166" s="254" t="s">
        <v>160</v>
      </c>
      <c r="W166" s="255"/>
      <c r="Y166" s="1177"/>
      <c r="Z166" s="1177"/>
      <c r="AA166" s="1177"/>
      <c r="AB166" s="1177"/>
      <c r="AC166" s="1177"/>
      <c r="AD166" s="1177"/>
      <c r="AE166" s="1177"/>
      <c r="AF166" s="1177"/>
      <c r="AG166" s="1177"/>
      <c r="AH166" s="1177"/>
      <c r="AI166" s="1177"/>
      <c r="AJ166" s="1177"/>
      <c r="AK166" s="1177"/>
    </row>
    <row r="167" spans="1:43" s="2529" customFormat="1" ht="17.25" customHeight="1">
      <c r="A167" s="1755"/>
      <c r="C167" s="1760"/>
      <c r="D167" s="1745"/>
      <c r="E167" s="1762"/>
      <c r="F167" s="1701"/>
      <c r="G167" s="1763"/>
      <c r="H167" s="1745"/>
      <c r="I167" s="1745"/>
      <c r="J167" s="1764"/>
      <c r="K167" s="1677"/>
      <c r="L167" s="2649"/>
      <c r="M167" s="2649"/>
      <c r="N167" s="2961"/>
      <c r="O167" s="2624"/>
      <c r="P167" s="253"/>
      <c r="Q167" s="254"/>
      <c r="R167" s="254" t="s">
        <v>161</v>
      </c>
      <c r="S167" s="1761"/>
      <c r="T167" s="1761"/>
      <c r="U167" s="1761"/>
      <c r="V167" s="1761"/>
      <c r="W167" s="255"/>
      <c r="Y167" s="1177"/>
      <c r="Z167" s="1177"/>
      <c r="AA167" s="1177"/>
      <c r="AB167" s="1177"/>
      <c r="AC167" s="1177"/>
      <c r="AD167" s="1177"/>
      <c r="AE167" s="1177"/>
      <c r="AF167" s="1177"/>
      <c r="AG167" s="1177"/>
      <c r="AH167" s="1177"/>
      <c r="AI167" s="1177"/>
      <c r="AJ167" s="1177"/>
      <c r="AK167" s="1177"/>
    </row>
    <row r="168" spans="1:43" ht="17.25" customHeight="1">
      <c r="G168" s="1754"/>
      <c r="H168" s="1754"/>
      <c r="I168" s="1754"/>
      <c r="M168" s="1750"/>
    </row>
    <row r="169" spans="1:43" s="2529" customFormat="1" ht="17.25" customHeight="1">
      <c r="A169" s="1755"/>
      <c r="C169" s="1757"/>
      <c r="D169" s="1745"/>
      <c r="E169" s="1762"/>
      <c r="F169" s="1701"/>
      <c r="G169" s="1763"/>
      <c r="H169" s="1745"/>
      <c r="I169" s="1745"/>
      <c r="J169" s="1764"/>
      <c r="K169" s="1677"/>
      <c r="L169" s="1673"/>
      <c r="M169" s="1673"/>
      <c r="N169" s="1960"/>
      <c r="O169" s="1704"/>
      <c r="P169" s="2620"/>
      <c r="Q169" s="2620" t="s">
        <v>108</v>
      </c>
      <c r="R169" s="2959" t="s">
        <v>28</v>
      </c>
      <c r="S169" s="2619" t="s">
        <v>66</v>
      </c>
      <c r="T169" s="1728"/>
      <c r="U169" s="1728" t="s">
        <v>108</v>
      </c>
      <c r="V169" s="1758" t="s">
        <v>28</v>
      </c>
      <c r="W169" s="1718"/>
      <c r="Y169" s="1185"/>
      <c r="Z169" s="1185"/>
      <c r="AA169" s="1185"/>
      <c r="AB169" s="1185"/>
      <c r="AC169" s="1185"/>
      <c r="AD169" s="1185"/>
      <c r="AE169" s="1185"/>
      <c r="AF169" s="1185"/>
      <c r="AG169" s="1185"/>
      <c r="AH169" s="1185"/>
      <c r="AI169" s="1185"/>
      <c r="AJ169" s="1185"/>
      <c r="AK169" s="1185"/>
      <c r="AL169" s="1759"/>
      <c r="AM169" s="1759"/>
      <c r="AN169" s="1185"/>
      <c r="AO169" s="1185"/>
      <c r="AP169" s="1185"/>
      <c r="AQ169" s="1185"/>
    </row>
    <row r="170" spans="1:43" s="2529" customFormat="1" ht="17.25" customHeight="1">
      <c r="A170" s="1755"/>
      <c r="C170" s="1760"/>
      <c r="D170" s="1745"/>
      <c r="E170" s="1762"/>
      <c r="F170" s="1701"/>
      <c r="G170" s="1763"/>
      <c r="H170" s="1745"/>
      <c r="I170" s="1745"/>
      <c r="J170" s="1764"/>
      <c r="K170" s="1677"/>
      <c r="L170" s="1673"/>
      <c r="M170" s="1673"/>
      <c r="N170" s="1960"/>
      <c r="O170" s="1704"/>
      <c r="P170" s="2620"/>
      <c r="Q170" s="2620"/>
      <c r="R170" s="2959"/>
      <c r="S170" s="2619"/>
      <c r="T170" s="253"/>
      <c r="U170" s="254"/>
      <c r="V170" s="254" t="s">
        <v>160</v>
      </c>
      <c r="W170" s="255"/>
      <c r="Y170" s="1177"/>
      <c r="Z170" s="1177"/>
      <c r="AA170" s="1177"/>
      <c r="AB170" s="1177"/>
      <c r="AC170" s="1177"/>
      <c r="AD170" s="1177"/>
      <c r="AE170" s="1177"/>
      <c r="AF170" s="1177"/>
      <c r="AG170" s="1177"/>
      <c r="AH170" s="1177"/>
      <c r="AI170" s="1177"/>
      <c r="AJ170" s="1177"/>
      <c r="AK170" s="1177"/>
    </row>
    <row r="171" spans="1:43" ht="17.25" customHeight="1">
      <c r="G171" s="1754"/>
      <c r="H171" s="1754"/>
      <c r="I171" s="1754"/>
      <c r="M171" s="1750"/>
    </row>
    <row r="172" spans="1:43" s="2529"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108</v>
      </c>
      <c r="V172" s="1758" t="s">
        <v>28</v>
      </c>
      <c r="W172" s="1718"/>
      <c r="Y172" s="1185"/>
      <c r="Z172" s="1185"/>
      <c r="AA172" s="1185"/>
      <c r="AB172" s="1185"/>
      <c r="AC172" s="1185"/>
      <c r="AD172" s="1185"/>
      <c r="AE172" s="1185"/>
      <c r="AF172" s="1185"/>
      <c r="AG172" s="1185"/>
      <c r="AH172" s="1185"/>
      <c r="AI172" s="1185"/>
      <c r="AJ172" s="1185"/>
      <c r="AK172" s="1185"/>
      <c r="AL172" s="1759"/>
      <c r="AM172" s="1759"/>
      <c r="AN172" s="1185"/>
      <c r="AO172" s="1185"/>
      <c r="AP172" s="1185"/>
      <c r="AQ172" s="1185"/>
    </row>
    <row r="174" spans="1:43" s="2579" customFormat="1" ht="17.25" customHeight="1">
      <c r="A174" s="1732" t="s">
        <v>1942</v>
      </c>
    </row>
    <row r="175" spans="1:43" ht="17.25" customHeight="1">
      <c r="G175" s="1754"/>
      <c r="H175" s="1754"/>
      <c r="I175" s="1754"/>
      <c r="M175" s="1750"/>
    </row>
    <row r="176" spans="1:43" s="2529" customFormat="1" ht="17.25" customHeight="1">
      <c r="A176" s="1755"/>
      <c r="C176" s="1757"/>
      <c r="D176" s="2683"/>
      <c r="E176" s="2660"/>
      <c r="F176" s="2662"/>
      <c r="G176" s="2681"/>
      <c r="H176" s="2683"/>
      <c r="I176" s="2683">
        <v>1</v>
      </c>
      <c r="J176" s="2651"/>
      <c r="K176" s="2647" t="s">
        <v>66</v>
      </c>
      <c r="L176" s="2620"/>
      <c r="M176" s="2620" t="s">
        <v>108</v>
      </c>
      <c r="N176" s="2960" t="str">
        <f>IF(Z176="","",INDEX(TERRITORY_MR_LIST,MATCH(Z176,TERRITORY_LIST_ID,0)))</f>
        <v/>
      </c>
      <c r="O176" s="2647" t="s">
        <v>66</v>
      </c>
      <c r="P176" s="2620"/>
      <c r="Q176" s="2620" t="s">
        <v>108</v>
      </c>
      <c r="R176" s="2959" t="s">
        <v>28</v>
      </c>
      <c r="S176" s="2882" t="s">
        <v>19</v>
      </c>
      <c r="T176" s="1719"/>
      <c r="U176" s="1719" t="s">
        <v>108</v>
      </c>
      <c r="V176" s="1352"/>
      <c r="W176" s="2651"/>
      <c r="Y176" s="1185"/>
      <c r="Z176" s="1185"/>
      <c r="AA176" s="1185"/>
      <c r="AB176" s="1185"/>
      <c r="AC176" s="1185"/>
      <c r="AD176" s="1185"/>
      <c r="AE176" s="1185"/>
      <c r="AF176" s="1185"/>
      <c r="AG176" s="1185"/>
      <c r="AH176" s="1185"/>
      <c r="AI176" s="1185"/>
      <c r="AJ176" s="1185"/>
      <c r="AK176" s="1185"/>
      <c r="AL176" s="1759"/>
      <c r="AM176" s="1759"/>
      <c r="AN176" s="1185"/>
      <c r="AO176" s="1185"/>
      <c r="AP176" s="1185"/>
      <c r="AQ176" s="1185"/>
    </row>
    <row r="177" spans="1:43" s="2529" customFormat="1" ht="17.25" customHeight="1">
      <c r="A177" s="1755"/>
      <c r="C177" s="1760"/>
      <c r="D177" s="2683"/>
      <c r="E177" s="2660"/>
      <c r="F177" s="2663"/>
      <c r="G177" s="2681"/>
      <c r="H177" s="2683"/>
      <c r="I177" s="2683"/>
      <c r="J177" s="2651"/>
      <c r="K177" s="2648"/>
      <c r="L177" s="2620"/>
      <c r="M177" s="2620"/>
      <c r="N177" s="2960"/>
      <c r="O177" s="2648"/>
      <c r="P177" s="2620"/>
      <c r="Q177" s="2620"/>
      <c r="R177" s="2959"/>
      <c r="S177" s="2882"/>
      <c r="T177" s="1353"/>
      <c r="U177" s="1354"/>
      <c r="V177" s="1354"/>
      <c r="W177" s="2651"/>
      <c r="Y177" s="1177"/>
      <c r="Z177" s="1177"/>
      <c r="AA177" s="1177"/>
      <c r="AB177" s="1177"/>
      <c r="AC177" s="1177"/>
      <c r="AD177" s="1177"/>
      <c r="AE177" s="1177"/>
      <c r="AF177" s="1177"/>
      <c r="AG177" s="1177"/>
      <c r="AH177" s="1177"/>
      <c r="AI177" s="1177"/>
      <c r="AJ177" s="1177"/>
      <c r="AK177" s="1177"/>
    </row>
    <row r="178" spans="1:43" s="2529" customFormat="1" ht="17.25" customHeight="1">
      <c r="A178" s="1755"/>
      <c r="C178" s="1760"/>
      <c r="D178" s="2649"/>
      <c r="E178" s="2661"/>
      <c r="F178" s="2663"/>
      <c r="G178" s="2682"/>
      <c r="H178" s="2649"/>
      <c r="I178" s="2649"/>
      <c r="J178" s="2652"/>
      <c r="K178" s="2648"/>
      <c r="L178" s="2649"/>
      <c r="M178" s="2649"/>
      <c r="N178" s="2961"/>
      <c r="O178" s="2624"/>
      <c r="P178" s="253"/>
      <c r="Q178" s="254"/>
      <c r="R178" s="254" t="s">
        <v>161</v>
      </c>
      <c r="S178" s="1761"/>
      <c r="T178" s="1761"/>
      <c r="U178" s="1761"/>
      <c r="V178" s="1761"/>
      <c r="W178" s="1351"/>
      <c r="Y178" s="1177"/>
      <c r="Z178" s="1177"/>
      <c r="AA178" s="1177"/>
      <c r="AB178" s="1177"/>
      <c r="AC178" s="1177"/>
      <c r="AD178" s="1177"/>
      <c r="AE178" s="1177"/>
      <c r="AF178" s="1177"/>
      <c r="AG178" s="1177"/>
      <c r="AH178" s="1177"/>
      <c r="AI178" s="1177"/>
      <c r="AJ178" s="1177"/>
      <c r="AK178" s="1177"/>
    </row>
    <row r="179" spans="1:43" s="2529" customFormat="1" ht="17.25" customHeight="1">
      <c r="A179" s="1755"/>
      <c r="C179" s="1760"/>
      <c r="D179" s="2649"/>
      <c r="E179" s="2661"/>
      <c r="F179" s="2663"/>
      <c r="G179" s="2682"/>
      <c r="H179" s="2649"/>
      <c r="I179" s="2649"/>
      <c r="J179" s="2652"/>
      <c r="K179" s="2624"/>
      <c r="L179" s="253"/>
      <c r="M179" s="254"/>
      <c r="N179" s="254" t="s">
        <v>162</v>
      </c>
      <c r="O179" s="254"/>
      <c r="P179" s="254"/>
      <c r="Q179" s="254"/>
      <c r="R179" s="254"/>
      <c r="S179" s="1761"/>
      <c r="T179" s="1761"/>
      <c r="U179" s="1761"/>
      <c r="V179" s="1761"/>
      <c r="W179" s="255"/>
      <c r="Y179" s="1177"/>
      <c r="Z179" s="1177"/>
      <c r="AA179" s="1177"/>
      <c r="AB179" s="1177"/>
      <c r="AC179" s="1177"/>
      <c r="AD179" s="1177"/>
      <c r="AE179" s="1177"/>
      <c r="AF179" s="1177"/>
      <c r="AG179" s="1177"/>
      <c r="AH179" s="1177"/>
      <c r="AI179" s="1177"/>
      <c r="AJ179" s="1177"/>
      <c r="AK179" s="1177"/>
    </row>
    <row r="180" spans="1:43" s="2529" customFormat="1" ht="17.25" customHeight="1">
      <c r="A180" s="1755"/>
      <c r="C180" s="1760"/>
      <c r="D180" s="2649"/>
      <c r="E180" s="2661"/>
      <c r="F180" s="2664"/>
      <c r="G180" s="2682"/>
      <c r="H180" s="253"/>
      <c r="I180" s="254"/>
      <c r="J180" s="254" t="s">
        <v>163</v>
      </c>
      <c r="K180" s="254"/>
      <c r="L180" s="254"/>
      <c r="M180" s="254"/>
      <c r="N180" s="254"/>
      <c r="O180" s="254"/>
      <c r="P180" s="254"/>
      <c r="Q180" s="254"/>
      <c r="R180" s="254"/>
      <c r="S180" s="1761"/>
      <c r="T180" s="1761"/>
      <c r="U180" s="1761"/>
      <c r="V180" s="1761"/>
      <c r="W180" s="255"/>
      <c r="Y180" s="1177"/>
      <c r="Z180" s="1177"/>
      <c r="AA180" s="1177"/>
      <c r="AB180" s="1177"/>
      <c r="AC180" s="1177"/>
      <c r="AD180" s="1177"/>
      <c r="AE180" s="1177"/>
      <c r="AF180" s="1177"/>
      <c r="AG180" s="1177"/>
      <c r="AH180" s="1177"/>
      <c r="AI180" s="1177"/>
      <c r="AJ180" s="1177"/>
      <c r="AK180" s="1177"/>
    </row>
    <row r="181" spans="1:43" ht="17.25" customHeight="1">
      <c r="A181" s="1765"/>
    </row>
    <row r="182" spans="1:43" s="2529" customFormat="1" ht="17.25" customHeight="1">
      <c r="A182" s="1755"/>
      <c r="C182" s="1757"/>
      <c r="D182" s="1745"/>
      <c r="E182" s="1762"/>
      <c r="F182" s="1701"/>
      <c r="G182" s="1763"/>
      <c r="H182" s="2683"/>
      <c r="I182" s="2683">
        <v>1</v>
      </c>
      <c r="J182" s="2651"/>
      <c r="K182" s="2647" t="s">
        <v>66</v>
      </c>
      <c r="L182" s="2620"/>
      <c r="M182" s="2620" t="s">
        <v>108</v>
      </c>
      <c r="N182" s="2960" t="str">
        <f>IF(Z182="","",INDEX(TERRITORY_MR_LIST,MATCH(Z182,TERRITORY_LIST_ID,0)))</f>
        <v/>
      </c>
      <c r="O182" s="2647" t="s">
        <v>66</v>
      </c>
      <c r="P182" s="2620"/>
      <c r="Q182" s="2620" t="s">
        <v>108</v>
      </c>
      <c r="R182" s="2959" t="s">
        <v>28</v>
      </c>
      <c r="S182" s="2882" t="s">
        <v>19</v>
      </c>
      <c r="T182" s="1719"/>
      <c r="U182" s="1719" t="s">
        <v>108</v>
      </c>
      <c r="V182" s="1352"/>
      <c r="W182" s="2651"/>
      <c r="Y182" s="1185"/>
      <c r="Z182" s="1185"/>
      <c r="AA182" s="1185"/>
      <c r="AB182" s="1185"/>
      <c r="AC182" s="1185"/>
      <c r="AD182" s="1185"/>
      <c r="AE182" s="1185"/>
      <c r="AF182" s="1185"/>
      <c r="AG182" s="1185"/>
      <c r="AH182" s="1185"/>
      <c r="AI182" s="1185"/>
      <c r="AJ182" s="1185"/>
      <c r="AK182" s="1185"/>
      <c r="AL182" s="1759"/>
      <c r="AM182" s="1759"/>
      <c r="AN182" s="1185"/>
      <c r="AO182" s="1185"/>
      <c r="AP182" s="1185"/>
      <c r="AQ182" s="1185"/>
    </row>
    <row r="183" spans="1:43" s="2529" customFormat="1" ht="17.25" customHeight="1">
      <c r="A183" s="1755"/>
      <c r="C183" s="1760"/>
      <c r="D183" s="1745"/>
      <c r="E183" s="1762"/>
      <c r="F183" s="1701"/>
      <c r="G183" s="1763"/>
      <c r="H183" s="2683"/>
      <c r="I183" s="2683"/>
      <c r="J183" s="2651"/>
      <c r="K183" s="2648"/>
      <c r="L183" s="2620"/>
      <c r="M183" s="2620"/>
      <c r="N183" s="2960"/>
      <c r="O183" s="2648"/>
      <c r="P183" s="2620"/>
      <c r="Q183" s="2620"/>
      <c r="R183" s="2959"/>
      <c r="S183" s="2882"/>
      <c r="T183" s="1353"/>
      <c r="U183" s="1354"/>
      <c r="V183" s="1354"/>
      <c r="W183" s="2651"/>
      <c r="Y183" s="1177"/>
      <c r="Z183" s="1177"/>
      <c r="AA183" s="1177"/>
      <c r="AB183" s="1177"/>
      <c r="AC183" s="1177"/>
      <c r="AD183" s="1177"/>
      <c r="AE183" s="1177"/>
      <c r="AF183" s="1177"/>
      <c r="AG183" s="1177"/>
      <c r="AH183" s="1177"/>
      <c r="AI183" s="1177"/>
      <c r="AJ183" s="1177"/>
      <c r="AK183" s="1177"/>
    </row>
    <row r="184" spans="1:43" s="2529" customFormat="1" ht="17.25" customHeight="1">
      <c r="A184" s="1755"/>
      <c r="C184" s="1760"/>
      <c r="D184" s="1745"/>
      <c r="E184" s="1762"/>
      <c r="F184" s="1701"/>
      <c r="G184" s="1763"/>
      <c r="H184" s="2649"/>
      <c r="I184" s="2649"/>
      <c r="J184" s="2652"/>
      <c r="K184" s="2648"/>
      <c r="L184" s="2649"/>
      <c r="M184" s="2649"/>
      <c r="N184" s="2961"/>
      <c r="O184" s="2624"/>
      <c r="P184" s="253"/>
      <c r="Q184" s="254"/>
      <c r="R184" s="254" t="s">
        <v>161</v>
      </c>
      <c r="S184" s="1761"/>
      <c r="T184" s="1761"/>
      <c r="U184" s="1761"/>
      <c r="V184" s="1761"/>
      <c r="W184" s="1351"/>
      <c r="Y184" s="1177"/>
      <c r="Z184" s="1177"/>
      <c r="AA184" s="1177"/>
      <c r="AB184" s="1177"/>
      <c r="AC184" s="1177"/>
      <c r="AD184" s="1177"/>
      <c r="AE184" s="1177"/>
      <c r="AF184" s="1177"/>
      <c r="AG184" s="1177"/>
      <c r="AH184" s="1177"/>
      <c r="AI184" s="1177"/>
      <c r="AJ184" s="1177"/>
      <c r="AK184" s="1177"/>
    </row>
    <row r="185" spans="1:43" s="2529" customFormat="1" ht="17.25" customHeight="1">
      <c r="A185" s="1755"/>
      <c r="C185" s="1760"/>
      <c r="D185" s="1745"/>
      <c r="E185" s="1762"/>
      <c r="F185" s="1701"/>
      <c r="G185" s="1763"/>
      <c r="H185" s="2649"/>
      <c r="I185" s="2649"/>
      <c r="J185" s="2652"/>
      <c r="K185" s="2624"/>
      <c r="L185" s="253"/>
      <c r="M185" s="254"/>
      <c r="N185" s="254" t="s">
        <v>162</v>
      </c>
      <c r="O185" s="254"/>
      <c r="P185" s="254"/>
      <c r="Q185" s="254"/>
      <c r="R185" s="254"/>
      <c r="S185" s="1761"/>
      <c r="T185" s="1761"/>
      <c r="U185" s="1761"/>
      <c r="V185" s="1761"/>
      <c r="W185" s="255"/>
      <c r="Y185" s="1177"/>
      <c r="Z185" s="1177"/>
      <c r="AA185" s="1177"/>
      <c r="AB185" s="1177"/>
      <c r="AC185" s="1177"/>
      <c r="AD185" s="1177"/>
      <c r="AE185" s="1177"/>
      <c r="AF185" s="1177"/>
      <c r="AG185" s="1177"/>
      <c r="AH185" s="1177"/>
      <c r="AI185" s="1177"/>
      <c r="AJ185" s="1177"/>
      <c r="AK185" s="1177"/>
    </row>
    <row r="186" spans="1:43" ht="17.25" customHeight="1">
      <c r="A186" s="1765"/>
    </row>
    <row r="187" spans="1:43" s="2529" customFormat="1" ht="17.25" customHeight="1">
      <c r="A187" s="1755"/>
      <c r="C187" s="1757"/>
      <c r="D187" s="1745"/>
      <c r="E187" s="1762"/>
      <c r="F187" s="1701"/>
      <c r="G187" s="1763"/>
      <c r="H187" s="1745"/>
      <c r="I187" s="1745"/>
      <c r="J187" s="1766"/>
      <c r="K187" s="1763"/>
      <c r="L187" s="2620"/>
      <c r="M187" s="2620" t="s">
        <v>108</v>
      </c>
      <c r="N187" s="2960" t="str">
        <f>IF(Z187="","",INDEX(TERRITORY_MR_LIST,MATCH(Z187,TERRITORY_LIST_ID,0)))</f>
        <v/>
      </c>
      <c r="O187" s="2647" t="s">
        <v>66</v>
      </c>
      <c r="P187" s="2620"/>
      <c r="Q187" s="2620" t="s">
        <v>108</v>
      </c>
      <c r="R187" s="2959" t="s">
        <v>28</v>
      </c>
      <c r="S187" s="2882" t="s">
        <v>19</v>
      </c>
      <c r="T187" s="1719"/>
      <c r="U187" s="1719" t="s">
        <v>108</v>
      </c>
      <c r="V187" s="1352"/>
      <c r="W187" s="2651"/>
      <c r="Y187" s="1185"/>
      <c r="Z187" s="1185"/>
      <c r="AA187" s="1185"/>
      <c r="AB187" s="1185"/>
      <c r="AC187" s="1185"/>
      <c r="AD187" s="1185"/>
      <c r="AE187" s="1185"/>
      <c r="AF187" s="1185"/>
      <c r="AG187" s="1185"/>
      <c r="AH187" s="1185"/>
      <c r="AI187" s="1185"/>
      <c r="AJ187" s="1185"/>
      <c r="AK187" s="1185"/>
      <c r="AL187" s="1759"/>
      <c r="AM187" s="1759"/>
      <c r="AN187" s="1185"/>
      <c r="AO187" s="1185"/>
      <c r="AP187" s="1185"/>
      <c r="AQ187" s="1185"/>
    </row>
    <row r="188" spans="1:43" s="2529" customFormat="1" ht="17.25" customHeight="1">
      <c r="A188" s="1755"/>
      <c r="C188" s="1760"/>
      <c r="D188" s="1745"/>
      <c r="E188" s="1762"/>
      <c r="F188" s="1701"/>
      <c r="G188" s="1763"/>
      <c r="H188" s="1745"/>
      <c r="I188" s="1745"/>
      <c r="J188" s="1766"/>
      <c r="K188" s="1763"/>
      <c r="L188" s="2620"/>
      <c r="M188" s="2620"/>
      <c r="N188" s="2960"/>
      <c r="O188" s="2648"/>
      <c r="P188" s="2620"/>
      <c r="Q188" s="2620"/>
      <c r="R188" s="2959"/>
      <c r="S188" s="2882"/>
      <c r="T188" s="1353"/>
      <c r="U188" s="1354"/>
      <c r="V188" s="1354"/>
      <c r="W188" s="2651"/>
      <c r="Y188" s="1177"/>
      <c r="Z188" s="1177"/>
      <c r="AA188" s="1177"/>
      <c r="AB188" s="1177"/>
      <c r="AC188" s="1177"/>
      <c r="AD188" s="1177"/>
      <c r="AE188" s="1177"/>
      <c r="AF188" s="1177"/>
      <c r="AG188" s="1177"/>
      <c r="AH188" s="1177"/>
      <c r="AI188" s="1177"/>
      <c r="AJ188" s="1177"/>
      <c r="AK188" s="1177"/>
    </row>
    <row r="189" spans="1:43" s="2529" customFormat="1" ht="17.25" customHeight="1">
      <c r="A189" s="1755"/>
      <c r="C189" s="1760"/>
      <c r="D189" s="1745"/>
      <c r="E189" s="1762"/>
      <c r="F189" s="1701"/>
      <c r="G189" s="1763"/>
      <c r="H189" s="1745"/>
      <c r="I189" s="1745"/>
      <c r="J189" s="1766"/>
      <c r="K189" s="1763"/>
      <c r="L189" s="2649"/>
      <c r="M189" s="2649"/>
      <c r="N189" s="2961"/>
      <c r="O189" s="2624"/>
      <c r="P189" s="253"/>
      <c r="Q189" s="254"/>
      <c r="R189" s="254" t="s">
        <v>161</v>
      </c>
      <c r="S189" s="1761"/>
      <c r="T189" s="1761"/>
      <c r="U189" s="1761"/>
      <c r="V189" s="1761"/>
      <c r="W189" s="1351"/>
      <c r="Y189" s="1177"/>
      <c r="Z189" s="1177"/>
      <c r="AA189" s="1177"/>
      <c r="AB189" s="1177"/>
      <c r="AC189" s="1177"/>
      <c r="AD189" s="1177"/>
      <c r="AE189" s="1177"/>
      <c r="AF189" s="1177"/>
      <c r="AG189" s="1177"/>
      <c r="AH189" s="1177"/>
      <c r="AI189" s="1177"/>
      <c r="AJ189" s="1177"/>
      <c r="AK189" s="1177"/>
    </row>
    <row r="190" spans="1:43" ht="17.25" customHeight="1">
      <c r="A190" s="1765"/>
    </row>
    <row r="191" spans="1:43" s="2529" customFormat="1" ht="17.25" customHeight="1">
      <c r="A191" s="1755"/>
      <c r="C191" s="1757"/>
      <c r="D191" s="1745"/>
      <c r="E191" s="1762"/>
      <c r="F191" s="1701"/>
      <c r="G191" s="1763"/>
      <c r="H191" s="1745"/>
      <c r="I191" s="1745"/>
      <c r="J191" s="1766"/>
      <c r="K191" s="1763"/>
      <c r="L191" s="1745"/>
      <c r="M191" s="1745"/>
      <c r="N191" s="1960"/>
      <c r="O191" s="1704"/>
      <c r="P191" s="2620"/>
      <c r="Q191" s="2620" t="s">
        <v>108</v>
      </c>
      <c r="R191" s="2959" t="s">
        <v>28</v>
      </c>
      <c r="S191" s="2882" t="s">
        <v>19</v>
      </c>
      <c r="T191" s="1719"/>
      <c r="U191" s="1719" t="s">
        <v>108</v>
      </c>
      <c r="V191" s="1352"/>
      <c r="W191" s="2651"/>
      <c r="Y191" s="1185"/>
      <c r="Z191" s="1185"/>
      <c r="AA191" s="1185"/>
      <c r="AB191" s="1185"/>
      <c r="AC191" s="1185"/>
      <c r="AD191" s="1185"/>
      <c r="AE191" s="1185"/>
      <c r="AF191" s="1185"/>
      <c r="AG191" s="1185"/>
      <c r="AH191" s="1185"/>
      <c r="AI191" s="1185"/>
      <c r="AJ191" s="1185"/>
      <c r="AK191" s="1185"/>
      <c r="AL191" s="1759"/>
      <c r="AM191" s="1759"/>
      <c r="AN191" s="1185"/>
      <c r="AO191" s="1185"/>
      <c r="AP191" s="1185"/>
      <c r="AQ191" s="1185"/>
    </row>
    <row r="192" spans="1:43" s="2529" customFormat="1" ht="17.25" customHeight="1">
      <c r="A192" s="1755"/>
      <c r="C192" s="1760"/>
      <c r="D192" s="1745"/>
      <c r="E192" s="1762"/>
      <c r="F192" s="1701"/>
      <c r="G192" s="1763"/>
      <c r="H192" s="1745"/>
      <c r="I192" s="1745"/>
      <c r="J192" s="1766"/>
      <c r="K192" s="1763"/>
      <c r="L192" s="1745"/>
      <c r="M192" s="1745"/>
      <c r="N192" s="1960"/>
      <c r="O192" s="1704"/>
      <c r="P192" s="2620"/>
      <c r="Q192" s="2620"/>
      <c r="R192" s="2959"/>
      <c r="S192" s="2882"/>
      <c r="T192" s="1353"/>
      <c r="U192" s="1354"/>
      <c r="V192" s="1354"/>
      <c r="W192" s="2651"/>
      <c r="Y192" s="1177"/>
      <c r="Z192" s="1177"/>
      <c r="AA192" s="1177"/>
      <c r="AB192" s="1177"/>
      <c r="AC192" s="1177"/>
      <c r="AD192" s="1177"/>
      <c r="AE192" s="1177"/>
      <c r="AF192" s="1177"/>
      <c r="AG192" s="1177"/>
      <c r="AH192" s="1177"/>
      <c r="AI192" s="1177"/>
      <c r="AJ192" s="1177"/>
      <c r="AK192" s="1177"/>
    </row>
    <row r="193" spans="1:63" ht="17.25" customHeight="1">
      <c r="A193" s="1765"/>
    </row>
    <row r="194" spans="1:63" ht="16.5" customHeight="1">
      <c r="A194" s="1755"/>
      <c r="B194" s="1756"/>
      <c r="C194" s="1760"/>
      <c r="D194" s="2683"/>
      <c r="E194" s="2699"/>
      <c r="F194" s="2699"/>
      <c r="G194" s="2638"/>
      <c r="H194" s="2665"/>
      <c r="I194" s="2667"/>
      <c r="J194" s="2669"/>
      <c r="K194" s="2653"/>
      <c r="L194" s="2653"/>
      <c r="M194" s="2653"/>
      <c r="N194" s="2655"/>
      <c r="O194" s="2653"/>
      <c r="P194" s="2653"/>
      <c r="Q194" s="2653"/>
      <c r="R194" s="2658"/>
      <c r="S194" s="2653"/>
      <c r="T194" s="1700"/>
      <c r="U194" s="1700"/>
      <c r="V194" s="1767"/>
      <c r="W194" s="1214"/>
    </row>
    <row r="195" spans="1:63" ht="16.5" customHeight="1">
      <c r="A195" s="1755"/>
      <c r="B195" s="1756"/>
      <c r="C195" s="1760"/>
      <c r="D195" s="2683"/>
      <c r="E195" s="2699"/>
      <c r="F195" s="2699"/>
      <c r="G195" s="2638"/>
      <c r="H195" s="2666"/>
      <c r="I195" s="2668"/>
      <c r="J195" s="2670"/>
      <c r="K195" s="2654"/>
      <c r="L195" s="2654"/>
      <c r="M195" s="2654"/>
      <c r="N195" s="2656"/>
      <c r="O195" s="2654"/>
      <c r="P195" s="2654"/>
      <c r="Q195" s="2654"/>
      <c r="R195" s="2657"/>
      <c r="S195" s="2654"/>
      <c r="T195" s="1215"/>
      <c r="U195" s="1215"/>
      <c r="V195" s="1215"/>
      <c r="W195" s="1216"/>
    </row>
    <row r="196" spans="1:63" ht="17.25" customHeight="1">
      <c r="A196" s="1755"/>
      <c r="B196" s="1756"/>
      <c r="C196" s="1760"/>
      <c r="D196" s="2683"/>
      <c r="E196" s="2699"/>
      <c r="F196" s="2699"/>
      <c r="G196" s="2638"/>
      <c r="H196" s="2666"/>
      <c r="I196" s="2668"/>
      <c r="J196" s="2671"/>
      <c r="K196" s="2654"/>
      <c r="L196" s="2654"/>
      <c r="M196" s="2654"/>
      <c r="N196" s="2657"/>
      <c r="O196" s="2654"/>
      <c r="P196" s="1703"/>
      <c r="Q196" s="1215"/>
      <c r="R196" s="1215"/>
      <c r="S196" s="1768"/>
      <c r="T196" s="1768"/>
      <c r="U196" s="1768"/>
      <c r="V196" s="1768"/>
      <c r="W196" s="1216"/>
    </row>
    <row r="197" spans="1:63" ht="17.25" customHeight="1">
      <c r="A197" s="1755"/>
      <c r="B197" s="1756"/>
      <c r="C197" s="1760"/>
      <c r="D197" s="2683"/>
      <c r="E197" s="2699"/>
      <c r="F197" s="2699"/>
      <c r="G197" s="2638"/>
      <c r="H197" s="2666"/>
      <c r="I197" s="2668"/>
      <c r="J197" s="2671"/>
      <c r="K197" s="2654"/>
      <c r="L197" s="1215"/>
      <c r="M197" s="1215"/>
      <c r="N197" s="1215"/>
      <c r="O197" s="1215"/>
      <c r="P197" s="1215"/>
      <c r="Q197" s="1215"/>
      <c r="R197" s="1215"/>
      <c r="S197" s="1768"/>
      <c r="T197" s="1768"/>
      <c r="U197" s="1768"/>
      <c r="V197" s="1768"/>
      <c r="W197" s="1216"/>
    </row>
    <row r="198" spans="1:63" ht="17.25" customHeight="1">
      <c r="A198" s="1755"/>
      <c r="B198" s="1756"/>
      <c r="C198" s="1760"/>
      <c r="D198" s="2683"/>
      <c r="E198" s="2699"/>
      <c r="F198" s="2699"/>
      <c r="G198" s="2638"/>
      <c r="H198" s="1217"/>
      <c r="I198" s="1218"/>
      <c r="J198" s="1218"/>
      <c r="K198" s="1218"/>
      <c r="L198" s="1218"/>
      <c r="M198" s="1218"/>
      <c r="N198" s="1218"/>
      <c r="O198" s="1218"/>
      <c r="P198" s="1218"/>
      <c r="Q198" s="1218"/>
      <c r="R198" s="1218"/>
      <c r="S198" s="1769"/>
      <c r="T198" s="1769"/>
      <c r="U198" s="1769"/>
      <c r="V198" s="1769"/>
      <c r="W198" s="1220"/>
    </row>
    <row r="200" spans="1:63" s="2579" customFormat="1" ht="17.25" customHeight="1">
      <c r="A200" s="1732" t="s">
        <v>1943</v>
      </c>
    </row>
    <row r="201" spans="1:63" ht="17.25" customHeight="1">
      <c r="G201" s="1754"/>
      <c r="H201" s="1754"/>
      <c r="I201" s="1754"/>
      <c r="M201" s="1750"/>
    </row>
    <row r="202" spans="1:63" s="2523" customFormat="1" ht="15" customHeight="1">
      <c r="D202" s="2977"/>
      <c r="E202" s="2714"/>
      <c r="F202" s="2714"/>
      <c r="G202" s="2647"/>
      <c r="H202" s="1482"/>
      <c r="I202" s="2981">
        <v>1</v>
      </c>
      <c r="J202" s="2651"/>
      <c r="K202" s="1497"/>
      <c r="L202" s="2647" t="s">
        <v>66</v>
      </c>
      <c r="M202" s="2647" t="s">
        <v>66</v>
      </c>
      <c r="N202" s="1482"/>
      <c r="O202" s="2620" t="s">
        <v>108</v>
      </c>
      <c r="P202" s="2971"/>
      <c r="Q202" s="1498"/>
      <c r="R202" s="2647" t="s">
        <v>66</v>
      </c>
      <c r="S202" s="2647" t="s">
        <v>66</v>
      </c>
      <c r="T202" s="1770"/>
      <c r="U202" s="2620" t="s">
        <v>108</v>
      </c>
      <c r="V202" s="2978" t="str">
        <f>IF(AK202="","",INDEX(TERRITORY_MR_LIST,MATCH(AK202,TERRITORY_LIST_ID,0)))</f>
        <v/>
      </c>
      <c r="W202" s="1499"/>
      <c r="X202" s="2647" t="s">
        <v>66</v>
      </c>
      <c r="Y202" s="2647" t="s">
        <v>19</v>
      </c>
      <c r="Z202" s="1482"/>
      <c r="AA202" s="2620" t="s">
        <v>108</v>
      </c>
      <c r="AB202" s="2980"/>
      <c r="AC202" s="1500"/>
      <c r="AD202" s="2647" t="s">
        <v>66</v>
      </c>
      <c r="AE202" s="2647" t="s">
        <v>19</v>
      </c>
      <c r="AF202" s="1480"/>
      <c r="AG202" s="1728" t="s">
        <v>108</v>
      </c>
      <c r="AH202" s="1490"/>
      <c r="AI202" s="1718"/>
    </row>
    <row r="203" spans="1:63" s="2523" customFormat="1" ht="15" customHeight="1">
      <c r="D203" s="2977"/>
      <c r="E203" s="2714"/>
      <c r="F203" s="2714"/>
      <c r="G203" s="2648"/>
      <c r="H203" s="1482"/>
      <c r="I203" s="2981"/>
      <c r="J203" s="2651"/>
      <c r="K203" s="1481"/>
      <c r="L203" s="2648"/>
      <c r="M203" s="2648"/>
      <c r="N203" s="1482"/>
      <c r="O203" s="2620"/>
      <c r="P203" s="2971"/>
      <c r="Q203" s="1478"/>
      <c r="R203" s="2648"/>
      <c r="S203" s="2648"/>
      <c r="T203" s="1770"/>
      <c r="U203" s="2620"/>
      <c r="V203" s="2979"/>
      <c r="W203" s="1479"/>
      <c r="X203" s="2648"/>
      <c r="Y203" s="2648"/>
      <c r="Z203" s="1482"/>
      <c r="AA203" s="2620"/>
      <c r="AB203" s="2954"/>
      <c r="AC203" s="1483"/>
      <c r="AD203" s="2624"/>
      <c r="AE203" s="2624"/>
      <c r="AF203" s="1484"/>
      <c r="AG203" s="1485"/>
      <c r="AH203" s="2972" t="s">
        <v>1944</v>
      </c>
      <c r="AI203" s="2973"/>
    </row>
    <row r="204" spans="1:63" s="2523" customFormat="1" ht="15" customHeight="1">
      <c r="D204" s="2977"/>
      <c r="E204" s="2714"/>
      <c r="F204" s="2714"/>
      <c r="G204" s="2648"/>
      <c r="H204" s="1482"/>
      <c r="I204" s="2981"/>
      <c r="J204" s="2651"/>
      <c r="K204" s="1481"/>
      <c r="L204" s="2648"/>
      <c r="M204" s="2648"/>
      <c r="N204" s="1482"/>
      <c r="O204" s="2620"/>
      <c r="P204" s="2971"/>
      <c r="Q204" s="1478"/>
      <c r="R204" s="2648"/>
      <c r="S204" s="2648"/>
      <c r="T204" s="1770"/>
      <c r="U204" s="2620"/>
      <c r="V204" s="2979"/>
      <c r="W204" s="1479"/>
      <c r="X204" s="2648"/>
      <c r="Y204" s="2648"/>
      <c r="Z204" s="1521"/>
      <c r="AA204" s="1487"/>
      <c r="AB204" s="2974" t="s">
        <v>1945</v>
      </c>
      <c r="AC204" s="2974"/>
      <c r="AD204" s="2974"/>
      <c r="AE204" s="2974"/>
      <c r="AF204" s="2974"/>
      <c r="AG204" s="2974"/>
      <c r="AH204" s="2974"/>
      <c r="AI204" s="2975"/>
    </row>
    <row r="205" spans="1:63" s="2523" customFormat="1" ht="15" customHeight="1">
      <c r="D205" s="2977"/>
      <c r="E205" s="2714"/>
      <c r="F205" s="2714"/>
      <c r="G205" s="2648"/>
      <c r="H205" s="1482"/>
      <c r="I205" s="2981"/>
      <c r="J205" s="2651"/>
      <c r="K205" s="1481"/>
      <c r="L205" s="2648"/>
      <c r="M205" s="2648"/>
      <c r="N205" s="1482"/>
      <c r="O205" s="2620"/>
      <c r="P205" s="2976"/>
      <c r="Q205" s="1478"/>
      <c r="R205" s="2648"/>
      <c r="S205" s="2648"/>
      <c r="T205" s="1771"/>
      <c r="U205" s="1522"/>
      <c r="V205" s="2972" t="s">
        <v>102</v>
      </c>
      <c r="W205" s="2972"/>
      <c r="X205" s="2972"/>
      <c r="Y205" s="2972"/>
      <c r="Z205" s="2972"/>
      <c r="AA205" s="2972"/>
      <c r="AB205" s="2972"/>
      <c r="AC205" s="2972"/>
      <c r="AD205" s="2972"/>
      <c r="AE205" s="2972"/>
      <c r="AF205" s="2972"/>
      <c r="AG205" s="2972"/>
      <c r="AH205" s="2972"/>
      <c r="AI205" s="2973"/>
    </row>
    <row r="206" spans="1:63" s="2523" customFormat="1" ht="11.25" customHeight="1">
      <c r="D206" s="2977"/>
      <c r="E206" s="2714"/>
      <c r="F206" s="2714"/>
      <c r="G206" s="2648"/>
      <c r="H206" s="1486"/>
      <c r="I206" s="2981"/>
      <c r="J206" s="2982"/>
      <c r="K206" s="1481"/>
      <c r="L206" s="2648"/>
      <c r="M206" s="2648"/>
      <c r="N206" s="1486"/>
      <c r="O206" s="1487"/>
      <c r="P206" s="2972" t="s">
        <v>1946</v>
      </c>
      <c r="Q206" s="2972"/>
      <c r="R206" s="2972"/>
      <c r="S206" s="2972"/>
      <c r="T206" s="2972"/>
      <c r="U206" s="2972"/>
      <c r="V206" s="2972"/>
      <c r="W206" s="2972"/>
      <c r="X206" s="2972"/>
      <c r="Y206" s="2972"/>
      <c r="Z206" s="2972"/>
      <c r="AA206" s="2972"/>
      <c r="AB206" s="2972"/>
      <c r="AC206" s="2972"/>
      <c r="AD206" s="2972"/>
      <c r="AE206" s="2972"/>
      <c r="AF206" s="2972"/>
      <c r="AG206" s="2972"/>
      <c r="AH206" s="2972"/>
      <c r="AI206" s="2973"/>
    </row>
    <row r="207" spans="1:63" s="2535" customFormat="1" ht="11.25" customHeight="1">
      <c r="D207" s="2977"/>
      <c r="E207" s="2714"/>
      <c r="F207" s="2714"/>
      <c r="G207" s="2624"/>
      <c r="H207" s="1488"/>
      <c r="I207" s="1489"/>
      <c r="J207" s="2972" t="s">
        <v>163</v>
      </c>
      <c r="K207" s="2972"/>
      <c r="L207" s="2972"/>
      <c r="M207" s="2972"/>
      <c r="N207" s="2972"/>
      <c r="O207" s="2972"/>
      <c r="P207" s="2972"/>
      <c r="Q207" s="2972"/>
      <c r="R207" s="2972"/>
      <c r="S207" s="2972"/>
      <c r="T207" s="2972"/>
      <c r="U207" s="2972"/>
      <c r="V207" s="2972"/>
      <c r="W207" s="2972"/>
      <c r="X207" s="2972"/>
      <c r="Y207" s="2972"/>
      <c r="Z207" s="2972"/>
      <c r="AA207" s="2972"/>
      <c r="AB207" s="2972"/>
      <c r="AC207" s="2972"/>
      <c r="AD207" s="2972"/>
      <c r="AE207" s="2972"/>
      <c r="AF207" s="2972"/>
      <c r="AG207" s="2972"/>
      <c r="AH207" s="2972"/>
      <c r="AI207" s="2973"/>
      <c r="BK207" s="1492"/>
    </row>
    <row r="208" spans="1:63" ht="17.25" customHeight="1">
      <c r="G208" s="1754"/>
      <c r="I208" s="1754"/>
      <c r="J208" s="1754"/>
      <c r="N208" s="1750"/>
    </row>
    <row r="209" spans="1:63" s="2523" customFormat="1" ht="15" customHeight="1">
      <c r="D209" s="2977"/>
      <c r="E209" s="2714"/>
      <c r="F209" s="2714"/>
      <c r="G209" s="2699"/>
      <c r="H209" s="1517"/>
      <c r="I209" s="2701"/>
      <c r="J209" s="2669"/>
      <c r="K209" s="1702"/>
      <c r="L209" s="2653"/>
      <c r="M209" s="2653"/>
      <c r="N209" s="1502"/>
      <c r="O209" s="2653"/>
      <c r="P209" s="2669"/>
      <c r="Q209" s="1706"/>
      <c r="R209" s="2653"/>
      <c r="S209" s="2653"/>
      <c r="T209" s="1772"/>
      <c r="U209" s="2653"/>
      <c r="V209" s="2669"/>
      <c r="W209" s="1505"/>
      <c r="X209" s="2653"/>
      <c r="Y209" s="2653"/>
      <c r="Z209" s="1502"/>
      <c r="AA209" s="2653"/>
      <c r="AB209" s="2669"/>
      <c r="AC209" s="1506"/>
      <c r="AD209" s="2653"/>
      <c r="AE209" s="2653"/>
      <c r="AF209" s="1700"/>
      <c r="AG209" s="1700"/>
      <c r="AH209" s="1507"/>
      <c r="AI209" s="1214"/>
    </row>
    <row r="210" spans="1:63" s="2523" customFormat="1" ht="15" customHeight="1">
      <c r="D210" s="2977"/>
      <c r="E210" s="2714"/>
      <c r="F210" s="2714"/>
      <c r="G210" s="2699"/>
      <c r="H210" s="1518"/>
      <c r="I210" s="2702"/>
      <c r="J210" s="2670"/>
      <c r="K210" s="1528"/>
      <c r="L210" s="2654"/>
      <c r="M210" s="2654"/>
      <c r="N210" s="1508"/>
      <c r="O210" s="2654"/>
      <c r="P210" s="2670"/>
      <c r="Q210" s="1707"/>
      <c r="R210" s="2654"/>
      <c r="S210" s="2654"/>
      <c r="T210" s="1773"/>
      <c r="U210" s="2654"/>
      <c r="V210" s="2670"/>
      <c r="W210" s="1511"/>
      <c r="X210" s="2654"/>
      <c r="Y210" s="2654"/>
      <c r="Z210" s="1508"/>
      <c r="AA210" s="2654"/>
      <c r="AB210" s="2670"/>
      <c r="AC210" s="1512"/>
      <c r="AD210" s="2654"/>
      <c r="AE210" s="2654"/>
      <c r="AF210" s="1705"/>
      <c r="AG210" s="1705"/>
      <c r="AH210" s="2697"/>
      <c r="AI210" s="2698"/>
    </row>
    <row r="211" spans="1:63" s="2523" customFormat="1" ht="15" customHeight="1">
      <c r="D211" s="2977"/>
      <c r="E211" s="2714"/>
      <c r="F211" s="2714"/>
      <c r="G211" s="2699"/>
      <c r="H211" s="1518"/>
      <c r="I211" s="2702"/>
      <c r="J211" s="2670"/>
      <c r="K211" s="1528"/>
      <c r="L211" s="2654"/>
      <c r="M211" s="2654"/>
      <c r="N211" s="1508"/>
      <c r="O211" s="2654"/>
      <c r="P211" s="2670"/>
      <c r="Q211" s="1707"/>
      <c r="R211" s="2654"/>
      <c r="S211" s="2654"/>
      <c r="T211" s="1773"/>
      <c r="U211" s="2654"/>
      <c r="V211" s="2670"/>
      <c r="W211" s="1511"/>
      <c r="X211" s="2654"/>
      <c r="Y211" s="2654"/>
      <c r="Z211" s="1703"/>
      <c r="AA211" s="1705"/>
      <c r="AB211" s="2697"/>
      <c r="AC211" s="2697"/>
      <c r="AD211" s="2697"/>
      <c r="AE211" s="2697"/>
      <c r="AF211" s="2697"/>
      <c r="AG211" s="2697"/>
      <c r="AH211" s="2697"/>
      <c r="AI211" s="2698"/>
    </row>
    <row r="212" spans="1:63" s="2523" customFormat="1" ht="15" customHeight="1">
      <c r="D212" s="2977"/>
      <c r="E212" s="2714"/>
      <c r="F212" s="2714"/>
      <c r="G212" s="2699"/>
      <c r="H212" s="1518"/>
      <c r="I212" s="2702"/>
      <c r="J212" s="2670"/>
      <c r="K212" s="1528"/>
      <c r="L212" s="2654"/>
      <c r="M212" s="2654"/>
      <c r="N212" s="1508"/>
      <c r="O212" s="2654"/>
      <c r="P212" s="2670"/>
      <c r="Q212" s="1707"/>
      <c r="R212" s="2654"/>
      <c r="S212" s="2654"/>
      <c r="T212" s="1774"/>
      <c r="U212" s="1515"/>
      <c r="V212" s="2697"/>
      <c r="W212" s="2697"/>
      <c r="X212" s="2697"/>
      <c r="Y212" s="2697"/>
      <c r="Z212" s="2697"/>
      <c r="AA212" s="2697"/>
      <c r="AB212" s="2697"/>
      <c r="AC212" s="2697"/>
      <c r="AD212" s="2697"/>
      <c r="AE212" s="2697"/>
      <c r="AF212" s="2697"/>
      <c r="AG212" s="2697"/>
      <c r="AH212" s="2697"/>
      <c r="AI212" s="2698"/>
    </row>
    <row r="213" spans="1:63" s="2523" customFormat="1" ht="11.25" customHeight="1">
      <c r="D213" s="2977"/>
      <c r="E213" s="2714"/>
      <c r="F213" s="2714"/>
      <c r="G213" s="2699"/>
      <c r="H213" s="1519"/>
      <c r="I213" s="2702"/>
      <c r="J213" s="2670"/>
      <c r="K213" s="1528"/>
      <c r="L213" s="2654"/>
      <c r="M213" s="2654"/>
      <c r="N213" s="1705"/>
      <c r="O213" s="1705"/>
      <c r="P213" s="2697"/>
      <c r="Q213" s="2697"/>
      <c r="R213" s="2697"/>
      <c r="S213" s="2697"/>
      <c r="T213" s="2697"/>
      <c r="U213" s="2697"/>
      <c r="V213" s="2697"/>
      <c r="W213" s="2697"/>
      <c r="X213" s="2697"/>
      <c r="Y213" s="2697"/>
      <c r="Z213" s="2697"/>
      <c r="AA213" s="2697"/>
      <c r="AB213" s="2697"/>
      <c r="AC213" s="2697"/>
      <c r="AD213" s="2697"/>
      <c r="AE213" s="2697"/>
      <c r="AF213" s="2697"/>
      <c r="AG213" s="2697"/>
      <c r="AH213" s="2697"/>
      <c r="AI213" s="2698"/>
    </row>
    <row r="214" spans="1:63" s="2535" customFormat="1" ht="11.25" customHeight="1">
      <c r="D214" s="2977"/>
      <c r="E214" s="2714"/>
      <c r="F214" s="2714"/>
      <c r="G214" s="2704"/>
      <c r="H214" s="1516"/>
      <c r="I214" s="1520"/>
      <c r="J214" s="2705"/>
      <c r="K214" s="2705"/>
      <c r="L214" s="2705"/>
      <c r="M214" s="2705"/>
      <c r="N214" s="2705"/>
      <c r="O214" s="2705"/>
      <c r="P214" s="2705"/>
      <c r="Q214" s="2705"/>
      <c r="R214" s="2705"/>
      <c r="S214" s="2705"/>
      <c r="T214" s="2705"/>
      <c r="U214" s="2705"/>
      <c r="V214" s="2705"/>
      <c r="W214" s="2705"/>
      <c r="X214" s="2705"/>
      <c r="Y214" s="2705"/>
      <c r="Z214" s="2705"/>
      <c r="AA214" s="2705"/>
      <c r="AB214" s="2705"/>
      <c r="AC214" s="2705"/>
      <c r="AD214" s="2705"/>
      <c r="AE214" s="2705"/>
      <c r="AF214" s="2705"/>
      <c r="AG214" s="2705"/>
      <c r="AH214" s="2705"/>
      <c r="AI214" s="2706"/>
      <c r="BK214" s="1492"/>
    </row>
    <row r="215" spans="1:63" ht="17.25" customHeight="1">
      <c r="A215" s="1765"/>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581"/>
    <col min="2" max="2" width="43.140625" style="2581" hidden="1"/>
    <col min="3" max="3" width="43.140625" style="2581"/>
    <col min="4" max="5" width="36.42578125" style="2581" customWidth="1"/>
    <col min="6" max="8" width="36.42578125" style="2582" customWidth="1"/>
  </cols>
  <sheetData>
    <row r="1" spans="1:8" ht="9" customHeight="1">
      <c r="A1" s="772" t="s">
        <v>1947</v>
      </c>
      <c r="B1" s="772"/>
      <c r="C1" s="905" t="s">
        <v>1948</v>
      </c>
      <c r="D1" s="904" t="s">
        <v>809</v>
      </c>
      <c r="E1" s="904" t="s">
        <v>855</v>
      </c>
      <c r="F1" s="904" t="s">
        <v>908</v>
      </c>
      <c r="G1" s="904" t="s">
        <v>895</v>
      </c>
      <c r="H1" s="904" t="s">
        <v>1622</v>
      </c>
    </row>
    <row r="2" spans="1:8" ht="9" customHeight="1">
      <c r="A2" s="906" t="s">
        <v>1949</v>
      </c>
      <c r="B2" s="906"/>
      <c r="C2" s="907" t="str">
        <f>INDEX(TEMPLATE_NUMBER_FORM_LIST,MATCH(TEMPLATE_SPHERE,TEMPLATE_SPHERE_LIST,0))</f>
        <v>16</v>
      </c>
      <c r="D2" s="906" t="s">
        <v>1471</v>
      </c>
      <c r="E2" s="906" t="s">
        <v>148</v>
      </c>
      <c r="F2" s="908" t="s">
        <v>148</v>
      </c>
      <c r="G2" s="906" t="s">
        <v>148</v>
      </c>
      <c r="H2" s="909"/>
    </row>
    <row r="3" spans="1:8" ht="63" customHeight="1">
      <c r="A3" s="772"/>
      <c r="B3" s="772" t="s">
        <v>108</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1950</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1951</v>
      </c>
      <c r="B4" s="772" t="s">
        <v>109</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1952</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1953</v>
      </c>
    </row>
    <row r="5" spans="1:8" ht="117" customHeight="1">
      <c r="A5" s="772" t="s">
        <v>1954</v>
      </c>
      <c r="B5" s="772" t="s">
        <v>89</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1955</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1956</v>
      </c>
    </row>
    <row r="6" spans="1:8" ht="90" customHeight="1">
      <c r="A6" s="772" t="s">
        <v>1957</v>
      </c>
      <c r="B6" s="772" t="s">
        <v>90</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1958</v>
      </c>
      <c r="B7" s="772" t="s">
        <v>110</v>
      </c>
      <c r="C7" s="907" t="str">
        <f>IF(TEMPLATE_SPHERE="HEAT",D7,E7)</f>
        <v>Форма 11. Информация о расходах на капитальный и текущий ремонт основных средств</v>
      </c>
      <c r="D7" s="772" t="s">
        <v>1959</v>
      </c>
      <c r="E7" s="772" t="s">
        <v>1960</v>
      </c>
      <c r="F7" s="909"/>
      <c r="G7" s="909"/>
      <c r="H7" s="909"/>
    </row>
    <row r="8" spans="1:8" ht="108" customHeight="1">
      <c r="A8" s="772" t="s">
        <v>1961</v>
      </c>
      <c r="B8" s="772" t="s">
        <v>91</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1162</v>
      </c>
      <c r="E8" s="772" t="s">
        <v>1962</v>
      </c>
      <c r="F8" s="909"/>
      <c r="G8" s="909"/>
      <c r="H8" s="909"/>
    </row>
    <row r="9" spans="1:8" ht="99" customHeight="1">
      <c r="A9" s="772" t="s">
        <v>1963</v>
      </c>
      <c r="B9" s="772"/>
      <c r="C9" s="772" t="s">
        <v>1964</v>
      </c>
      <c r="D9" s="772"/>
      <c r="E9" s="772"/>
      <c r="F9" s="909"/>
      <c r="G9" s="909"/>
      <c r="H9" s="909"/>
    </row>
    <row r="10" spans="1:8" ht="126" customHeight="1">
      <c r="A10" s="772" t="s">
        <v>1965</v>
      </c>
      <c r="B10" s="772"/>
      <c r="C10" s="772" t="s">
        <v>1966</v>
      </c>
      <c r="D10" s="772"/>
      <c r="E10" s="772"/>
      <c r="F10" s="909"/>
      <c r="G10" s="909"/>
      <c r="H10" s="909"/>
    </row>
    <row r="11" spans="1:8" ht="108" customHeight="1">
      <c r="A11" s="772" t="s">
        <v>1967</v>
      </c>
      <c r="B11" s="772"/>
      <c r="C11" s="772" t="s">
        <v>1968</v>
      </c>
      <c r="D11" s="772"/>
      <c r="E11" s="772"/>
      <c r="F11" s="909"/>
      <c r="G11" s="909"/>
      <c r="H11" s="909"/>
    </row>
    <row r="12" spans="1:8" ht="54" customHeight="1">
      <c r="A12" s="772" t="s">
        <v>1969</v>
      </c>
      <c r="B12" s="772"/>
      <c r="C12" s="772" t="s">
        <v>1970</v>
      </c>
      <c r="D12" s="772"/>
      <c r="E12" s="772"/>
      <c r="F12" s="909"/>
      <c r="G12" s="909"/>
      <c r="H12" s="909"/>
    </row>
    <row r="13" spans="1:8" ht="45" customHeight="1">
      <c r="A13" s="772" t="s">
        <v>1971</v>
      </c>
      <c r="B13" s="772"/>
      <c r="C13" s="772" t="s">
        <v>1972</v>
      </c>
      <c r="D13" s="772"/>
      <c r="E13" s="772"/>
      <c r="F13" s="909"/>
      <c r="G13" s="909"/>
      <c r="H13" s="909"/>
    </row>
    <row r="14" spans="1:8" ht="117" customHeight="1">
      <c r="A14" s="772" t="s">
        <v>1973</v>
      </c>
      <c r="B14" s="772"/>
      <c r="C14" s="772" t="s">
        <v>1974</v>
      </c>
      <c r="D14" s="772"/>
      <c r="E14" s="772"/>
      <c r="F14" s="909"/>
      <c r="G14" s="909"/>
      <c r="H14" s="909"/>
    </row>
    <row r="15" spans="1:8" ht="117" customHeight="1">
      <c r="A15" s="772" t="s">
        <v>1975</v>
      </c>
      <c r="B15" s="772"/>
      <c r="C15" s="772" t="s">
        <v>1976</v>
      </c>
      <c r="D15" s="772"/>
      <c r="E15" s="772"/>
      <c r="F15" s="909"/>
      <c r="G15" s="909"/>
      <c r="H15" s="909"/>
    </row>
    <row r="16" spans="1:8" ht="63" customHeight="1">
      <c r="A16" s="772" t="s">
        <v>1977</v>
      </c>
      <c r="B16" s="772"/>
      <c r="C16" s="772" t="s">
        <v>1978</v>
      </c>
      <c r="D16" s="772"/>
      <c r="E16" s="772"/>
      <c r="F16" s="909"/>
      <c r="G16" s="909"/>
      <c r="H16" s="909"/>
    </row>
    <row r="17" spans="1:8" ht="54" customHeight="1">
      <c r="A17" s="772" t="s">
        <v>1979</v>
      </c>
      <c r="B17" s="772"/>
      <c r="C17" s="907" t="s">
        <v>1980</v>
      </c>
      <c r="D17" s="772"/>
      <c r="E17" s="772"/>
      <c r="F17" s="909"/>
      <c r="G17" s="909"/>
      <c r="H17" s="909"/>
    </row>
    <row r="18" spans="1:8" ht="27" customHeight="1">
      <c r="A18" s="772" t="s">
        <v>1981</v>
      </c>
      <c r="B18" s="772"/>
      <c r="C18" s="907" t="s">
        <v>1982</v>
      </c>
      <c r="D18" s="772"/>
      <c r="E18" s="772"/>
      <c r="F18" s="909"/>
      <c r="G18" s="909"/>
      <c r="H18" s="909"/>
    </row>
    <row r="19" spans="1:8" ht="54" customHeight="1">
      <c r="A19" s="772" t="s">
        <v>1983</v>
      </c>
      <c r="B19" s="772"/>
      <c r="C19" s="907" t="s">
        <v>1984</v>
      </c>
      <c r="D19" s="772"/>
      <c r="E19" s="772"/>
      <c r="F19" s="909"/>
      <c r="G19" s="909"/>
      <c r="H19" s="909"/>
    </row>
    <row r="20" spans="1:8" ht="36" customHeight="1">
      <c r="A20" s="772" t="s">
        <v>1985</v>
      </c>
      <c r="B20" s="772"/>
      <c r="C20" s="907" t="s">
        <v>1986</v>
      </c>
      <c r="D20" s="772"/>
      <c r="E20" s="772"/>
      <c r="F20" s="909"/>
      <c r="G20" s="909"/>
      <c r="H20" s="909"/>
    </row>
    <row r="21" spans="1:8" ht="36" customHeight="1">
      <c r="A21" s="772" t="s">
        <v>1987</v>
      </c>
      <c r="B21" s="772"/>
      <c r="C21" s="907" t="s">
        <v>1988</v>
      </c>
      <c r="D21" s="772"/>
      <c r="E21" s="772"/>
      <c r="F21" s="909"/>
      <c r="G21" s="909"/>
      <c r="H21" s="909"/>
    </row>
    <row r="22" spans="1:8" ht="27" customHeight="1">
      <c r="A22" s="772" t="s">
        <v>1989</v>
      </c>
      <c r="B22" s="772"/>
      <c r="C22" s="907" t="s">
        <v>1990</v>
      </c>
      <c r="D22" s="772"/>
      <c r="E22" s="772"/>
      <c r="F22" s="909"/>
      <c r="G22" s="909"/>
      <c r="H22" s="909"/>
    </row>
    <row r="23" spans="1:8" ht="36" customHeight="1">
      <c r="A23" s="772" t="s">
        <v>1991</v>
      </c>
      <c r="B23" s="772"/>
      <c r="C23" s="907" t="s">
        <v>1992</v>
      </c>
      <c r="D23" s="772"/>
      <c r="E23" s="772"/>
      <c r="F23" s="909"/>
      <c r="G23" s="909"/>
      <c r="H23" s="909"/>
    </row>
    <row r="24" spans="1:8" ht="28.5" customHeight="1">
      <c r="A24" s="772" t="s">
        <v>1993</v>
      </c>
      <c r="B24" s="772"/>
      <c r="C24" s="907" t="s">
        <v>1994</v>
      </c>
      <c r="D24" s="772"/>
      <c r="E24" s="772"/>
      <c r="F24" s="909"/>
      <c r="G24" s="909"/>
      <c r="H24" s="909"/>
    </row>
    <row r="25" spans="1:8" ht="36" customHeight="1">
      <c r="A25" s="772" t="s">
        <v>1995</v>
      </c>
      <c r="B25" s="772"/>
      <c r="C25" s="907" t="s">
        <v>1996</v>
      </c>
      <c r="D25" s="772"/>
      <c r="E25" s="772"/>
      <c r="F25" s="909"/>
      <c r="G25" s="909"/>
      <c r="H25" s="909"/>
    </row>
    <row r="26" spans="1:8" ht="27" customHeight="1">
      <c r="A26" s="772" t="s">
        <v>1997</v>
      </c>
      <c r="B26" s="772"/>
      <c r="C26" s="907" t="s">
        <v>1998</v>
      </c>
      <c r="D26" s="772"/>
      <c r="E26" s="772"/>
      <c r="F26" s="909"/>
      <c r="G26" s="909"/>
      <c r="H26" s="909"/>
    </row>
    <row r="27" spans="1:8" ht="36" customHeight="1">
      <c r="A27" s="772" t="s">
        <v>1999</v>
      </c>
      <c r="B27" s="772"/>
      <c r="C27" s="907" t="s">
        <v>2000</v>
      </c>
      <c r="D27" s="772"/>
      <c r="E27" s="772"/>
      <c r="F27" s="909"/>
      <c r="G27" s="909"/>
      <c r="H27" s="909"/>
    </row>
    <row r="28" spans="1:8" ht="28.5" customHeight="1">
      <c r="A28" s="772" t="s">
        <v>2001</v>
      </c>
      <c r="B28" s="772"/>
      <c r="C28" s="907" t="s">
        <v>2002</v>
      </c>
      <c r="D28" s="772"/>
      <c r="E28" s="772"/>
      <c r="F28" s="909"/>
      <c r="G28" s="909"/>
      <c r="H28" s="909"/>
    </row>
    <row r="29" spans="1:8" ht="126" customHeight="1">
      <c r="A29" s="772" t="s">
        <v>2003</v>
      </c>
      <c r="B29" s="772" t="s">
        <v>1573</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2004</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2005</v>
      </c>
    </row>
    <row r="30" spans="1:8" ht="36" customHeight="1">
      <c r="A30" s="772" t="s">
        <v>2006</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2007</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2008</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2009</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2010</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2011</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2012</v>
      </c>
    </row>
    <row r="33" spans="1:8" ht="9" customHeight="1">
      <c r="A33" s="772"/>
      <c r="B33" s="772"/>
      <c r="C33" s="907"/>
      <c r="D33" s="772"/>
      <c r="E33" s="772"/>
      <c r="F33" s="909"/>
      <c r="G33" s="909"/>
      <c r="H33" s="909"/>
    </row>
    <row r="34" spans="1:8" ht="9" customHeight="1">
      <c r="A34" s="772"/>
      <c r="B34" s="772" t="s">
        <v>1509</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581"/>
    <col min="3" max="7" width="8" style="2584" customWidth="1"/>
    <col min="8" max="12" width="8.5703125" style="2584" customWidth="1"/>
    <col min="13" max="14" width="27.7109375" style="2584" customWidth="1"/>
    <col min="15" max="19" width="5.140625" style="2584" customWidth="1"/>
    <col min="20" max="24" width="27.7109375" style="2584" customWidth="1"/>
    <col min="25" max="25" width="1.85546875" style="2585" customWidth="1"/>
    <col min="26" max="26" width="27.7109375" style="2581" customWidth="1"/>
    <col min="27" max="27" width="27.7109375" style="2586" customWidth="1"/>
    <col min="28" max="29" width="27.7109375" style="2581" customWidth="1"/>
    <col min="30" max="30" width="3.85546875" style="2581" customWidth="1"/>
    <col min="31" max="34" width="9.140625" style="2581"/>
  </cols>
  <sheetData>
    <row r="1" spans="1:34" s="2583" customFormat="1" ht="18" customHeight="1">
      <c r="A1" s="822"/>
      <c r="B1" s="822"/>
      <c r="C1" s="822" t="s">
        <v>2013</v>
      </c>
      <c r="D1" s="822"/>
      <c r="E1" s="822"/>
      <c r="F1" s="822"/>
      <c r="G1" s="822"/>
      <c r="H1" s="822" t="s">
        <v>2014</v>
      </c>
      <c r="I1" s="822"/>
      <c r="J1" s="822"/>
      <c r="K1" s="822"/>
      <c r="L1" s="822"/>
      <c r="M1" s="822" t="s">
        <v>2015</v>
      </c>
      <c r="N1" s="822" t="s">
        <v>2016</v>
      </c>
      <c r="O1" s="3028" t="s">
        <v>2017</v>
      </c>
      <c r="P1" s="3028"/>
      <c r="Q1" s="3028"/>
      <c r="R1" s="3028"/>
      <c r="S1" s="3028"/>
      <c r="T1" s="3028" t="s">
        <v>2015</v>
      </c>
      <c r="U1" s="3028"/>
      <c r="V1" s="3028"/>
      <c r="W1" s="3028"/>
      <c r="X1" s="3028"/>
      <c r="Y1" s="922"/>
      <c r="Z1" s="3028" t="s">
        <v>2018</v>
      </c>
      <c r="AA1" s="3028"/>
      <c r="AB1" s="3028"/>
      <c r="AC1" s="3028"/>
      <c r="AD1" s="3028"/>
    </row>
    <row r="2" spans="1:34" ht="18" customHeight="1">
      <c r="A2" s="772"/>
      <c r="B2" s="772"/>
      <c r="C2" s="768" t="s">
        <v>809</v>
      </c>
      <c r="D2" s="768" t="s">
        <v>855</v>
      </c>
      <c r="E2" s="768" t="s">
        <v>908</v>
      </c>
      <c r="F2" s="768" t="s">
        <v>895</v>
      </c>
      <c r="G2" s="768" t="s">
        <v>1622</v>
      </c>
      <c r="H2" s="769"/>
      <c r="I2" s="769"/>
      <c r="J2" s="769"/>
      <c r="K2" s="769"/>
      <c r="L2" s="769"/>
      <c r="M2" s="769"/>
      <c r="N2" s="769"/>
      <c r="O2" s="768" t="s">
        <v>809</v>
      </c>
      <c r="P2" s="768" t="s">
        <v>855</v>
      </c>
      <c r="Q2" s="768" t="s">
        <v>895</v>
      </c>
      <c r="R2" s="768" t="s">
        <v>908</v>
      </c>
      <c r="S2" s="768" t="s">
        <v>1622</v>
      </c>
      <c r="T2" s="768" t="s">
        <v>809</v>
      </c>
      <c r="U2" s="768" t="s">
        <v>855</v>
      </c>
      <c r="V2" s="768" t="s">
        <v>895</v>
      </c>
      <c r="W2" s="768" t="s">
        <v>908</v>
      </c>
      <c r="X2" s="768" t="s">
        <v>1622</v>
      </c>
      <c r="Y2" s="768"/>
      <c r="Z2" s="768" t="s">
        <v>809</v>
      </c>
      <c r="AA2" s="776" t="s">
        <v>855</v>
      </c>
      <c r="AB2" s="768" t="s">
        <v>895</v>
      </c>
      <c r="AC2" s="768" t="s">
        <v>908</v>
      </c>
      <c r="AD2" s="768" t="s">
        <v>1622</v>
      </c>
    </row>
    <row r="3" spans="1:34" ht="162" customHeight="1">
      <c r="A3" s="771" t="s">
        <v>26</v>
      </c>
      <c r="B3" s="771"/>
      <c r="C3" s="3032" t="s">
        <v>2019</v>
      </c>
      <c r="D3" s="3033"/>
      <c r="E3" s="3033"/>
      <c r="F3" s="3034"/>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2020</v>
      </c>
      <c r="AA3" s="769" t="s">
        <v>2021</v>
      </c>
      <c r="AB3" s="772" t="s">
        <v>2022</v>
      </c>
      <c r="AC3" s="772" t="s">
        <v>2023</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3029" t="s">
        <v>33</v>
      </c>
      <c r="B11" s="823">
        <v>1</v>
      </c>
      <c r="C11" s="3035" t="s">
        <v>1560</v>
      </c>
      <c r="D11" s="3035" t="s">
        <v>1556</v>
      </c>
      <c r="E11" s="3035" t="s">
        <v>1655</v>
      </c>
      <c r="F11" s="3035" t="s">
        <v>2024</v>
      </c>
      <c r="G11" s="3035"/>
      <c r="H11" s="822" t="s">
        <v>2025</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2026</v>
      </c>
      <c r="U11" s="769" t="s">
        <v>2027</v>
      </c>
      <c r="V11" s="769"/>
      <c r="W11" s="769"/>
      <c r="X11" s="769"/>
      <c r="Y11" s="923"/>
      <c r="Z11" s="772" t="s">
        <v>2028</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3029"/>
      <c r="B12" s="823">
        <v>2</v>
      </c>
      <c r="C12" s="3036"/>
      <c r="D12" s="3036"/>
      <c r="E12" s="3036"/>
      <c r="F12" s="3036"/>
      <c r="G12" s="3036"/>
      <c r="H12" s="822" t="s">
        <v>2029</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2030</v>
      </c>
      <c r="U12" s="769" t="s">
        <v>2031</v>
      </c>
      <c r="V12" s="769"/>
      <c r="W12" s="769"/>
      <c r="X12" s="769"/>
      <c r="Y12" s="923"/>
      <c r="Z12" s="772" t="s">
        <v>2032</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3029"/>
      <c r="B13" s="823">
        <v>3</v>
      </c>
      <c r="C13" s="3036"/>
      <c r="D13" s="3036"/>
      <c r="E13" s="3036"/>
      <c r="F13" s="3036"/>
      <c r="G13" s="3036"/>
      <c r="H13" s="3028" t="s">
        <v>2033</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2034</v>
      </c>
      <c r="U13" s="770" t="s">
        <v>2035</v>
      </c>
      <c r="V13" s="770"/>
      <c r="W13" s="770"/>
      <c r="X13" s="769"/>
      <c r="Y13" s="923"/>
      <c r="Z13" s="772" t="s">
        <v>2036</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3029"/>
      <c r="B14" s="823">
        <v>4</v>
      </c>
      <c r="C14" s="3036"/>
      <c r="D14" s="3036"/>
      <c r="E14" s="3036"/>
      <c r="F14" s="3036"/>
      <c r="G14" s="3036"/>
      <c r="H14" s="3028"/>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2037</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2038</v>
      </c>
      <c r="AA14" s="775" t="s">
        <v>2038</v>
      </c>
      <c r="AB14" s="772"/>
      <c r="AC14" s="772"/>
      <c r="AD14" s="772"/>
    </row>
    <row r="15" spans="1:34" ht="108" customHeight="1">
      <c r="A15" s="3029"/>
      <c r="B15" s="823">
        <v>5</v>
      </c>
      <c r="C15" s="3036"/>
      <c r="D15" s="3036"/>
      <c r="E15" s="3036"/>
      <c r="F15" s="3036"/>
      <c r="G15" s="3036"/>
      <c r="H15" s="3030" t="s">
        <v>2039</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2040</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2041</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3037"/>
      <c r="D16" s="3037"/>
      <c r="E16" s="3037"/>
      <c r="F16" s="3037"/>
      <c r="G16" s="3037"/>
      <c r="H16" s="3031"/>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2041</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1658</v>
      </c>
      <c r="B18" s="823">
        <v>1</v>
      </c>
      <c r="C18" s="769" t="s">
        <v>2025</v>
      </c>
      <c r="D18" s="891" t="s">
        <v>2025</v>
      </c>
      <c r="E18" s="769" t="s">
        <v>2025</v>
      </c>
      <c r="F18" s="769" t="s">
        <v>2025</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2042</v>
      </c>
      <c r="U18" s="772" t="s">
        <v>2043</v>
      </c>
      <c r="V18" s="772" t="s">
        <v>2044</v>
      </c>
      <c r="W18" s="772" t="s">
        <v>2045</v>
      </c>
      <c r="X18" s="769"/>
      <c r="Y18" s="923"/>
      <c r="Z18" s="772" t="s">
        <v>2046</v>
      </c>
      <c r="AA18" s="775" t="s">
        <v>2047</v>
      </c>
      <c r="AB18" s="775" t="s">
        <v>2047</v>
      </c>
      <c r="AC18" s="775" t="s">
        <v>2047</v>
      </c>
      <c r="AD18" s="772"/>
    </row>
    <row r="19" spans="1:30" ht="36" customHeight="1">
      <c r="A19" s="771"/>
      <c r="B19" s="823">
        <v>2</v>
      </c>
      <c r="C19" s="769" t="s">
        <v>2029</v>
      </c>
      <c r="D19" s="891" t="s">
        <v>2029</v>
      </c>
      <c r="E19" s="769" t="s">
        <v>2029</v>
      </c>
      <c r="F19" s="769" t="s">
        <v>2029</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2048</v>
      </c>
      <c r="U19" s="772" t="s">
        <v>2049</v>
      </c>
      <c r="V19" s="772" t="s">
        <v>2050</v>
      </c>
      <c r="W19" s="772" t="s">
        <v>2051</v>
      </c>
      <c r="X19" s="769"/>
      <c r="Y19" s="923"/>
      <c r="Z19" s="772" t="s">
        <v>2052</v>
      </c>
      <c r="AA19" s="775" t="s">
        <v>2052</v>
      </c>
      <c r="AB19" s="775" t="s">
        <v>2052</v>
      </c>
      <c r="AC19" s="775" t="s">
        <v>2052</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710</v>
      </c>
      <c r="P20" s="881" t="s">
        <v>710</v>
      </c>
      <c r="Q20" s="881" t="s">
        <v>710</v>
      </c>
      <c r="R20" s="881" t="s">
        <v>710</v>
      </c>
      <c r="S20" s="881"/>
      <c r="T20" s="888" t="s">
        <v>2053</v>
      </c>
      <c r="U20" s="772" t="s">
        <v>2054</v>
      </c>
      <c r="V20" s="772" t="s">
        <v>2055</v>
      </c>
      <c r="W20" s="772" t="s">
        <v>2056</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309</v>
      </c>
      <c r="P21" s="881"/>
      <c r="Q21" s="881"/>
      <c r="R21" s="881"/>
      <c r="S21" s="881"/>
      <c r="T21" s="888" t="s">
        <v>2057</v>
      </c>
      <c r="U21" s="772"/>
      <c r="V21" s="772"/>
      <c r="W21" s="772"/>
      <c r="X21" s="769"/>
      <c r="Y21" s="923"/>
      <c r="Z21" s="772" t="s">
        <v>2058</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309</v>
      </c>
      <c r="R22" s="881"/>
      <c r="S22" s="881"/>
      <c r="T22" s="888"/>
      <c r="U22" s="772"/>
      <c r="V22" s="772" t="s">
        <v>2059</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312</v>
      </c>
      <c r="R23" s="881"/>
      <c r="S23" s="881"/>
      <c r="T23" s="888"/>
      <c r="U23" s="772"/>
      <c r="V23" s="772" t="s">
        <v>2060</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730</v>
      </c>
      <c r="R24" s="881"/>
      <c r="S24" s="881"/>
      <c r="T24" s="888"/>
      <c r="U24" s="772"/>
      <c r="V24" s="772" t="s">
        <v>2061</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312</v>
      </c>
      <c r="P25" s="881" t="s">
        <v>309</v>
      </c>
      <c r="Q25" s="881" t="s">
        <v>737</v>
      </c>
      <c r="R25" s="881" t="s">
        <v>309</v>
      </c>
      <c r="S25" s="881"/>
      <c r="T25" s="888" t="s">
        <v>2062</v>
      </c>
      <c r="U25" s="772" t="s">
        <v>2062</v>
      </c>
      <c r="V25" s="772" t="s">
        <v>2062</v>
      </c>
      <c r="W25" s="772" t="s">
        <v>2062</v>
      </c>
      <c r="X25" s="769"/>
      <c r="Y25" s="923"/>
      <c r="Z25" s="772"/>
      <c r="AA25" s="775"/>
      <c r="AB25" s="772"/>
      <c r="AC25" s="772"/>
      <c r="AD25" s="772"/>
    </row>
    <row r="26" spans="1:30" ht="18" customHeight="1">
      <c r="A26" s="771"/>
      <c r="B26" s="823">
        <v>9</v>
      </c>
      <c r="C26" s="769" t="s">
        <v>654</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726</v>
      </c>
      <c r="P26" s="881" t="s">
        <v>720</v>
      </c>
      <c r="Q26" s="881" t="s">
        <v>2063</v>
      </c>
      <c r="R26" s="881" t="s">
        <v>720</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2064</v>
      </c>
      <c r="V26" s="888" t="s">
        <v>2064</v>
      </c>
      <c r="W26" s="888" t="s">
        <v>2064</v>
      </c>
      <c r="X26" s="769"/>
      <c r="Y26" s="923"/>
      <c r="Z26" s="772"/>
      <c r="AA26" s="775"/>
      <c r="AB26" s="772"/>
      <c r="AC26" s="772"/>
      <c r="AD26" s="772"/>
    </row>
    <row r="27" spans="1:30" ht="18" customHeight="1">
      <c r="A27" s="771"/>
      <c r="B27" s="823">
        <v>10</v>
      </c>
      <c r="C27" s="769" t="s">
        <v>658</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728</v>
      </c>
      <c r="P27" s="881" t="s">
        <v>722</v>
      </c>
      <c r="Q27" s="881" t="s">
        <v>2065</v>
      </c>
      <c r="R27" s="881" t="s">
        <v>722</v>
      </c>
      <c r="S27" s="881"/>
      <c r="T27" s="888" t="s">
        <v>2066</v>
      </c>
      <c r="U27" s="888" t="s">
        <v>2066</v>
      </c>
      <c r="V27" s="888" t="s">
        <v>2066</v>
      </c>
      <c r="W27" s="888" t="s">
        <v>2066</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730</v>
      </c>
      <c r="P28" s="881"/>
      <c r="Q28" s="881"/>
      <c r="R28" s="881"/>
      <c r="S28" s="881"/>
      <c r="T28" s="888" t="s">
        <v>2067</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737</v>
      </c>
      <c r="P29" s="881" t="s">
        <v>312</v>
      </c>
      <c r="Q29" s="881"/>
      <c r="R29" s="881" t="s">
        <v>312</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2068</v>
      </c>
      <c r="V29" s="772"/>
      <c r="W29" s="772" t="s">
        <v>2068</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739</v>
      </c>
      <c r="P30" s="881" t="s">
        <v>730</v>
      </c>
      <c r="Q30" s="881" t="s">
        <v>739</v>
      </c>
      <c r="R30" s="881" t="s">
        <v>730</v>
      </c>
      <c r="S30" s="881"/>
      <c r="T30" s="888" t="s">
        <v>2069</v>
      </c>
      <c r="U30" s="772" t="s">
        <v>2069</v>
      </c>
      <c r="V30" s="772" t="s">
        <v>2069</v>
      </c>
      <c r="W30" s="772" t="s">
        <v>2069</v>
      </c>
      <c r="X30" s="769"/>
      <c r="Y30" s="923"/>
      <c r="Z30" s="772"/>
      <c r="AA30" s="775" t="s">
        <v>2070</v>
      </c>
      <c r="AB30" s="775" t="s">
        <v>2070</v>
      </c>
      <c r="AC30" s="775" t="s">
        <v>2070</v>
      </c>
      <c r="AD30" s="772"/>
    </row>
    <row r="31" spans="1:30" ht="18" customHeight="1">
      <c r="A31" s="771"/>
      <c r="B31" s="823">
        <v>14</v>
      </c>
      <c r="C31" s="769" t="s">
        <v>2071</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2072</v>
      </c>
      <c r="P31" s="881" t="s">
        <v>733</v>
      </c>
      <c r="Q31" s="881" t="s">
        <v>2072</v>
      </c>
      <c r="R31" s="881" t="s">
        <v>733</v>
      </c>
      <c r="S31" s="881"/>
      <c r="T31" s="889" t="s">
        <v>2073</v>
      </c>
      <c r="U31" s="772" t="s">
        <v>2073</v>
      </c>
      <c r="V31" s="772" t="s">
        <v>2073</v>
      </c>
      <c r="W31" s="772" t="s">
        <v>2073</v>
      </c>
      <c r="X31" s="769"/>
      <c r="Y31" s="923"/>
      <c r="Z31" s="772"/>
      <c r="AA31" s="775"/>
      <c r="AB31" s="775"/>
      <c r="AC31" s="775"/>
      <c r="AD31" s="772"/>
    </row>
    <row r="32" spans="1:30" ht="36" customHeight="1">
      <c r="A32" s="771"/>
      <c r="B32" s="823">
        <v>15</v>
      </c>
      <c r="C32" s="769" t="s">
        <v>2074</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2075</v>
      </c>
      <c r="P32" s="881" t="s">
        <v>735</v>
      </c>
      <c r="Q32" s="881" t="s">
        <v>2075</v>
      </c>
      <c r="R32" s="881" t="s">
        <v>735</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2076</v>
      </c>
      <c r="V32" s="772" t="s">
        <v>2076</v>
      </c>
      <c r="W32" s="772" t="s">
        <v>2076</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741</v>
      </c>
      <c r="P33" s="881" t="s">
        <v>737</v>
      </c>
      <c r="Q33" s="881" t="s">
        <v>741</v>
      </c>
      <c r="R33" s="881" t="s">
        <v>737</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2077</v>
      </c>
      <c r="V33" s="772" t="s">
        <v>2077</v>
      </c>
      <c r="W33" s="772" t="s">
        <v>2078</v>
      </c>
      <c r="X33" s="769"/>
      <c r="Y33" s="923"/>
      <c r="Z33" s="772"/>
      <c r="AA33" s="775" t="s">
        <v>2079</v>
      </c>
      <c r="AB33" s="775" t="s">
        <v>2079</v>
      </c>
      <c r="AC33" s="775" t="s">
        <v>2079</v>
      </c>
      <c r="AD33" s="772"/>
    </row>
    <row r="34" spans="1:30" ht="27" customHeight="1">
      <c r="A34" s="771"/>
      <c r="B34" s="823">
        <v>17</v>
      </c>
      <c r="C34" s="769" t="s">
        <v>2080</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2081</v>
      </c>
      <c r="P34" s="881" t="s">
        <v>2063</v>
      </c>
      <c r="Q34" s="881" t="s">
        <v>2081</v>
      </c>
      <c r="R34" s="881" t="s">
        <v>2063</v>
      </c>
      <c r="S34" s="881"/>
      <c r="T34" s="890" t="s">
        <v>2082</v>
      </c>
      <c r="U34" s="772" t="s">
        <v>2082</v>
      </c>
      <c r="V34" s="772" t="s">
        <v>2082</v>
      </c>
      <c r="W34" s="772" t="s">
        <v>2083</v>
      </c>
      <c r="X34" s="769"/>
      <c r="Y34" s="923"/>
      <c r="Z34" s="772"/>
      <c r="AA34" s="775"/>
      <c r="AB34" s="772"/>
      <c r="AC34" s="772"/>
      <c r="AD34" s="772"/>
    </row>
    <row r="35" spans="1:30" ht="45" customHeight="1">
      <c r="A35" s="771"/>
      <c r="B35" s="823">
        <v>18</v>
      </c>
      <c r="C35" s="769" t="s">
        <v>2084</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2085</v>
      </c>
      <c r="P35" s="881" t="s">
        <v>2065</v>
      </c>
      <c r="Q35" s="881" t="s">
        <v>2085</v>
      </c>
      <c r="R35" s="881" t="s">
        <v>2065</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2086</v>
      </c>
      <c r="V35" s="772" t="s">
        <v>2086</v>
      </c>
      <c r="W35" s="772" t="s">
        <v>2086</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743</v>
      </c>
      <c r="P36" s="881" t="s">
        <v>739</v>
      </c>
      <c r="Q36" s="881" t="s">
        <v>743</v>
      </c>
      <c r="R36" s="881" t="s">
        <v>739</v>
      </c>
      <c r="S36" s="881"/>
      <c r="T36" s="888" t="s">
        <v>2087</v>
      </c>
      <c r="U36" s="772" t="s">
        <v>2087</v>
      </c>
      <c r="V36" s="772" t="s">
        <v>2087</v>
      </c>
      <c r="W36" s="772" t="s">
        <v>2087</v>
      </c>
      <c r="X36" s="769"/>
      <c r="Y36" s="923"/>
      <c r="Z36" s="772"/>
      <c r="AA36" s="775"/>
      <c r="AB36" s="772"/>
      <c r="AC36" s="772"/>
      <c r="AD36" s="772"/>
    </row>
    <row r="37" spans="1:30" ht="18" customHeight="1">
      <c r="A37" s="771"/>
      <c r="B37" s="823">
        <v>20</v>
      </c>
      <c r="C37" s="769" t="s">
        <v>2088</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2089</v>
      </c>
      <c r="P37" s="881" t="s">
        <v>2072</v>
      </c>
      <c r="Q37" s="881" t="s">
        <v>2089</v>
      </c>
      <c r="R37" s="881" t="s">
        <v>2072</v>
      </c>
      <c r="S37" s="881"/>
      <c r="T37" s="888" t="s">
        <v>2090</v>
      </c>
      <c r="U37" s="772" t="s">
        <v>2090</v>
      </c>
      <c r="V37" s="772" t="s">
        <v>2090</v>
      </c>
      <c r="W37" s="772" t="s">
        <v>2090</v>
      </c>
      <c r="X37" s="769"/>
      <c r="Y37" s="923"/>
      <c r="Z37" s="772"/>
      <c r="AA37" s="775"/>
      <c r="AB37" s="772"/>
      <c r="AC37" s="772"/>
      <c r="AD37" s="772"/>
    </row>
    <row r="38" spans="1:30" ht="18" customHeight="1">
      <c r="A38" s="771"/>
      <c r="B38" s="823">
        <v>21</v>
      </c>
      <c r="C38" s="769" t="s">
        <v>2091</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2092</v>
      </c>
      <c r="P38" s="881" t="s">
        <v>2075</v>
      </c>
      <c r="Q38" s="881" t="s">
        <v>2092</v>
      </c>
      <c r="R38" s="881" t="s">
        <v>2075</v>
      </c>
      <c r="S38" s="881"/>
      <c r="T38" s="888" t="s">
        <v>2093</v>
      </c>
      <c r="U38" s="772" t="s">
        <v>2093</v>
      </c>
      <c r="V38" s="772" t="s">
        <v>2093</v>
      </c>
      <c r="W38" s="772" t="s">
        <v>2093</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747</v>
      </c>
      <c r="P39" s="881" t="s">
        <v>741</v>
      </c>
      <c r="Q39" s="881" t="s">
        <v>747</v>
      </c>
      <c r="R39" s="881" t="s">
        <v>741</v>
      </c>
      <c r="S39" s="881"/>
      <c r="T39" s="888" t="s">
        <v>2094</v>
      </c>
      <c r="U39" s="772" t="s">
        <v>2095</v>
      </c>
      <c r="V39" s="772" t="s">
        <v>2096</v>
      </c>
      <c r="W39" s="772" t="s">
        <v>2097</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2098</v>
      </c>
      <c r="P40" s="881" t="s">
        <v>743</v>
      </c>
      <c r="Q40" s="881" t="s">
        <v>2098</v>
      </c>
      <c r="R40" s="881" t="s">
        <v>743</v>
      </c>
      <c r="S40" s="881"/>
      <c r="T40" s="769" t="s">
        <v>2099</v>
      </c>
      <c r="U40" s="769" t="s">
        <v>2099</v>
      </c>
      <c r="V40" s="769" t="s">
        <v>2099</v>
      </c>
      <c r="W40" s="769" t="s">
        <v>2099</v>
      </c>
      <c r="X40" s="769"/>
      <c r="Y40" s="923"/>
      <c r="Z40" s="772" t="s">
        <v>2100</v>
      </c>
      <c r="AA40" s="775" t="s">
        <v>2100</v>
      </c>
      <c r="AB40" s="775" t="s">
        <v>2100</v>
      </c>
      <c r="AC40" s="775" t="s">
        <v>2100</v>
      </c>
      <c r="AD40" s="772"/>
    </row>
    <row r="41" spans="1:30" ht="27" customHeight="1">
      <c r="A41" s="771"/>
      <c r="B41" s="823">
        <v>24</v>
      </c>
      <c r="C41" s="769" t="s">
        <v>2101</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2102</v>
      </c>
      <c r="P41" s="881" t="s">
        <v>2089</v>
      </c>
      <c r="Q41" s="881" t="s">
        <v>2102</v>
      </c>
      <c r="R41" s="881" t="s">
        <v>2089</v>
      </c>
      <c r="S41" s="881"/>
      <c r="T41" s="769" t="s">
        <v>2103</v>
      </c>
      <c r="U41" s="769" t="s">
        <v>2103</v>
      </c>
      <c r="V41" s="769" t="s">
        <v>2103</v>
      </c>
      <c r="W41" s="769" t="s">
        <v>2103</v>
      </c>
      <c r="X41" s="769"/>
      <c r="Y41" s="923"/>
      <c r="Z41" s="772" t="s">
        <v>2104</v>
      </c>
      <c r="AA41" s="772" t="s">
        <v>2104</v>
      </c>
      <c r="AB41" s="772" t="s">
        <v>2104</v>
      </c>
      <c r="AC41" s="772" t="s">
        <v>2104</v>
      </c>
      <c r="AD41" s="772"/>
    </row>
    <row r="42" spans="1:30" ht="27" customHeight="1">
      <c r="A42" s="771"/>
      <c r="B42" s="823">
        <v>25</v>
      </c>
      <c r="C42" s="769" t="s">
        <v>2105</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2106</v>
      </c>
      <c r="P42" s="881" t="s">
        <v>2092</v>
      </c>
      <c r="Q42" s="881" t="s">
        <v>2106</v>
      </c>
      <c r="R42" s="881" t="s">
        <v>2092</v>
      </c>
      <c r="S42" s="881"/>
      <c r="T42" s="769" t="s">
        <v>2107</v>
      </c>
      <c r="U42" s="769" t="s">
        <v>2107</v>
      </c>
      <c r="V42" s="769" t="s">
        <v>2107</v>
      </c>
      <c r="W42" s="769" t="s">
        <v>2107</v>
      </c>
      <c r="X42" s="769"/>
      <c r="Y42" s="923"/>
      <c r="Z42" s="772" t="s">
        <v>2108</v>
      </c>
      <c r="AA42" s="772" t="s">
        <v>2108</v>
      </c>
      <c r="AB42" s="772" t="s">
        <v>2108</v>
      </c>
      <c r="AC42" s="772" t="s">
        <v>2108</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2109</v>
      </c>
      <c r="P43" s="881" t="s">
        <v>747</v>
      </c>
      <c r="Q43" s="881" t="s">
        <v>2109</v>
      </c>
      <c r="R43" s="881" t="s">
        <v>747</v>
      </c>
      <c r="S43" s="881"/>
      <c r="T43" s="769" t="s">
        <v>2110</v>
      </c>
      <c r="U43" s="769" t="s">
        <v>2110</v>
      </c>
      <c r="V43" s="769" t="s">
        <v>2110</v>
      </c>
      <c r="W43" s="769" t="s">
        <v>2110</v>
      </c>
      <c r="X43" s="769"/>
      <c r="Y43" s="923"/>
      <c r="Z43" s="772" t="s">
        <v>2111</v>
      </c>
      <c r="AA43" s="772" t="s">
        <v>2111</v>
      </c>
      <c r="AB43" s="772" t="s">
        <v>2111</v>
      </c>
      <c r="AC43" s="772" t="s">
        <v>2111</v>
      </c>
      <c r="AD43" s="772"/>
    </row>
    <row r="44" spans="1:30" ht="27" customHeight="1">
      <c r="A44" s="771"/>
      <c r="B44" s="823">
        <v>27</v>
      </c>
      <c r="C44" s="769" t="s">
        <v>2112</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2113</v>
      </c>
      <c r="P44" s="881" t="s">
        <v>2114</v>
      </c>
      <c r="Q44" s="881" t="s">
        <v>2113</v>
      </c>
      <c r="R44" s="881" t="s">
        <v>2114</v>
      </c>
      <c r="S44" s="881"/>
      <c r="T44" s="769" t="s">
        <v>2103</v>
      </c>
      <c r="U44" s="769" t="s">
        <v>2103</v>
      </c>
      <c r="V44" s="769" t="s">
        <v>2103</v>
      </c>
      <c r="W44" s="769" t="s">
        <v>2103</v>
      </c>
      <c r="X44" s="769"/>
      <c r="Y44" s="923"/>
      <c r="Z44" s="772" t="s">
        <v>2115</v>
      </c>
      <c r="AA44" s="772" t="s">
        <v>2115</v>
      </c>
      <c r="AB44" s="772" t="s">
        <v>2115</v>
      </c>
      <c r="AC44" s="772" t="s">
        <v>2115</v>
      </c>
      <c r="AD44" s="772"/>
    </row>
    <row r="45" spans="1:30" ht="27" customHeight="1">
      <c r="A45" s="771"/>
      <c r="B45" s="823">
        <v>28</v>
      </c>
      <c r="C45" s="769" t="s">
        <v>2116</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2117</v>
      </c>
      <c r="P45" s="881" t="s">
        <v>2118</v>
      </c>
      <c r="Q45" s="881" t="s">
        <v>2117</v>
      </c>
      <c r="R45" s="881" t="s">
        <v>2118</v>
      </c>
      <c r="S45" s="881"/>
      <c r="T45" s="769" t="s">
        <v>2107</v>
      </c>
      <c r="U45" s="769" t="s">
        <v>2107</v>
      </c>
      <c r="V45" s="769" t="s">
        <v>2107</v>
      </c>
      <c r="W45" s="769" t="s">
        <v>2107</v>
      </c>
      <c r="X45" s="769"/>
      <c r="Y45" s="923"/>
      <c r="Z45" s="772" t="s">
        <v>2119</v>
      </c>
      <c r="AA45" s="772" t="s">
        <v>2119</v>
      </c>
      <c r="AB45" s="772" t="s">
        <v>2119</v>
      </c>
      <c r="AC45" s="772" t="s">
        <v>2119</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2120</v>
      </c>
      <c r="P46" s="881" t="s">
        <v>2098</v>
      </c>
      <c r="Q46" s="881" t="s">
        <v>2120</v>
      </c>
      <c r="R46" s="881" t="s">
        <v>2098</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2121</v>
      </c>
      <c r="V46" s="769" t="s">
        <v>2121</v>
      </c>
      <c r="W46" s="769" t="s">
        <v>2121</v>
      </c>
      <c r="X46" s="769"/>
      <c r="Y46" s="923"/>
      <c r="Z46" s="772" t="s">
        <v>2122</v>
      </c>
      <c r="AA46" s="772" t="s">
        <v>2123</v>
      </c>
      <c r="AB46" s="772" t="s">
        <v>2123</v>
      </c>
      <c r="AC46" s="772" t="s">
        <v>2123</v>
      </c>
      <c r="AD46" s="772"/>
    </row>
    <row r="47" spans="1:30" ht="54" customHeight="1">
      <c r="A47" s="771"/>
      <c r="B47" s="823">
        <v>30</v>
      </c>
      <c r="C47" s="769" t="s">
        <v>2124</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2125</v>
      </c>
      <c r="P47" s="881" t="s">
        <v>2102</v>
      </c>
      <c r="Q47" s="881" t="s">
        <v>2125</v>
      </c>
      <c r="R47" s="881" t="s">
        <v>2102</v>
      </c>
      <c r="S47" s="881"/>
      <c r="T47" s="769" t="s">
        <v>2126</v>
      </c>
      <c r="U47" s="769" t="s">
        <v>2126</v>
      </c>
      <c r="V47" s="769" t="s">
        <v>2126</v>
      </c>
      <c r="W47" s="769" t="s">
        <v>2126</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2109</v>
      </c>
      <c r="Q48" s="881" t="s">
        <v>2127</v>
      </c>
      <c r="R48" s="881" t="s">
        <v>2109</v>
      </c>
      <c r="S48" s="881"/>
      <c r="T48" s="769"/>
      <c r="U48" s="769" t="s">
        <v>2128</v>
      </c>
      <c r="V48" s="769" t="s">
        <v>2129</v>
      </c>
      <c r="W48" s="769" t="s">
        <v>2129</v>
      </c>
      <c r="X48" s="769"/>
      <c r="Y48" s="923"/>
      <c r="Z48" s="772"/>
      <c r="AA48" s="775" t="s">
        <v>2123</v>
      </c>
      <c r="AB48" s="775" t="s">
        <v>2123</v>
      </c>
      <c r="AC48" s="775" t="s">
        <v>2123</v>
      </c>
      <c r="AD48" s="772"/>
    </row>
    <row r="49" spans="1:30" ht="54" customHeight="1">
      <c r="A49" s="771"/>
      <c r="B49" s="823">
        <v>32</v>
      </c>
      <c r="C49" s="769" t="s">
        <v>2130</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2113</v>
      </c>
      <c r="Q49" s="881" t="s">
        <v>2131</v>
      </c>
      <c r="R49" s="881" t="s">
        <v>2113</v>
      </c>
      <c r="S49" s="881"/>
      <c r="T49" s="769"/>
      <c r="U49" s="769" t="s">
        <v>2126</v>
      </c>
      <c r="V49" s="769" t="s">
        <v>2126</v>
      </c>
      <c r="W49" s="769" t="s">
        <v>2126</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2127</v>
      </c>
      <c r="P50" s="881" t="s">
        <v>2120</v>
      </c>
      <c r="Q50" s="881" t="s">
        <v>2132</v>
      </c>
      <c r="R50" s="881" t="s">
        <v>2120</v>
      </c>
      <c r="S50" s="881"/>
      <c r="T50" s="769" t="s">
        <v>2133</v>
      </c>
      <c r="U50" s="769" t="s">
        <v>2134</v>
      </c>
      <c r="V50" s="769" t="s">
        <v>2135</v>
      </c>
      <c r="W50" s="769" t="s">
        <v>2136</v>
      </c>
      <c r="X50" s="769"/>
      <c r="Y50" s="923"/>
      <c r="Z50" s="772" t="s">
        <v>2137</v>
      </c>
      <c r="AA50" s="775" t="s">
        <v>2138</v>
      </c>
      <c r="AB50" s="775" t="s">
        <v>2138</v>
      </c>
      <c r="AC50" s="775" t="s">
        <v>2138</v>
      </c>
      <c r="AD50" s="772"/>
    </row>
    <row r="51" spans="1:30" ht="27" customHeight="1">
      <c r="A51" s="771"/>
      <c r="B51" s="823">
        <v>34</v>
      </c>
      <c r="C51" s="769" t="s">
        <v>2139</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89</v>
      </c>
      <c r="P51" s="881"/>
      <c r="Q51" s="881"/>
      <c r="R51" s="881"/>
      <c r="S51" s="881"/>
      <c r="T51" s="769" t="s">
        <v>2140</v>
      </c>
      <c r="U51" s="769"/>
      <c r="V51" s="769"/>
      <c r="W51" s="769"/>
      <c r="X51" s="769"/>
      <c r="Y51" s="923"/>
      <c r="Z51" s="772"/>
      <c r="AA51" s="775"/>
      <c r="AB51" s="775"/>
      <c r="AC51" s="775"/>
      <c r="AD51" s="772"/>
    </row>
    <row r="52" spans="1:30" ht="36" customHeight="1">
      <c r="A52" s="771"/>
      <c r="B52" s="823">
        <v>35</v>
      </c>
      <c r="C52" s="769" t="s">
        <v>2033</v>
      </c>
      <c r="D52" s="891" t="s">
        <v>2033</v>
      </c>
      <c r="E52" s="769" t="s">
        <v>2033</v>
      </c>
      <c r="F52" s="769" t="s">
        <v>2033</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90</v>
      </c>
      <c r="P52" s="881" t="s">
        <v>89</v>
      </c>
      <c r="Q52" s="881" t="s">
        <v>89</v>
      </c>
      <c r="R52" s="881" t="s">
        <v>89</v>
      </c>
      <c r="S52" s="881"/>
      <c r="T52" s="769" t="s">
        <v>2141</v>
      </c>
      <c r="U52" s="769" t="s">
        <v>2142</v>
      </c>
      <c r="V52" s="769" t="s">
        <v>2143</v>
      </c>
      <c r="W52" s="769" t="s">
        <v>2144</v>
      </c>
      <c r="X52" s="769"/>
      <c r="Y52" s="923"/>
      <c r="Z52" s="772" t="s">
        <v>751</v>
      </c>
      <c r="AA52" s="775" t="s">
        <v>751</v>
      </c>
      <c r="AB52" s="775" t="s">
        <v>751</v>
      </c>
      <c r="AC52" s="775" t="s">
        <v>751</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755</v>
      </c>
      <c r="P53" s="881" t="s">
        <v>326</v>
      </c>
      <c r="Q53" s="881" t="s">
        <v>326</v>
      </c>
      <c r="R53" s="881" t="s">
        <v>326</v>
      </c>
      <c r="S53" s="881"/>
      <c r="T53" s="769" t="s">
        <v>2145</v>
      </c>
      <c r="U53" s="769" t="s">
        <v>2145</v>
      </c>
      <c r="V53" s="769" t="s">
        <v>2145</v>
      </c>
      <c r="W53" s="769" t="s">
        <v>2145</v>
      </c>
      <c r="X53" s="769"/>
      <c r="Y53" s="923"/>
      <c r="Z53" s="772"/>
      <c r="AA53" s="775"/>
      <c r="AB53" s="772"/>
      <c r="AC53" s="772"/>
      <c r="AD53" s="772"/>
    </row>
    <row r="54" spans="1:30" ht="18" customHeight="1">
      <c r="A54" s="771"/>
      <c r="B54" s="823">
        <v>37</v>
      </c>
      <c r="C54" s="769" t="s">
        <v>2039</v>
      </c>
      <c r="D54" s="891" t="s">
        <v>2039</v>
      </c>
      <c r="E54" s="769" t="s">
        <v>2039</v>
      </c>
      <c r="F54" s="769" t="s">
        <v>2039</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110</v>
      </c>
      <c r="P54" s="881" t="s">
        <v>90</v>
      </c>
      <c r="Q54" s="881" t="s">
        <v>90</v>
      </c>
      <c r="R54" s="881" t="s">
        <v>90</v>
      </c>
      <c r="S54" s="881"/>
      <c r="T54" s="769" t="s">
        <v>753</v>
      </c>
      <c r="U54" s="769" t="s">
        <v>753</v>
      </c>
      <c r="V54" s="769" t="s">
        <v>753</v>
      </c>
      <c r="W54" s="769" t="s">
        <v>753</v>
      </c>
      <c r="X54" s="769"/>
      <c r="Y54" s="923"/>
      <c r="Z54" s="772" t="s">
        <v>754</v>
      </c>
      <c r="AA54" s="772" t="s">
        <v>754</v>
      </c>
      <c r="AB54" s="772" t="s">
        <v>754</v>
      </c>
      <c r="AC54" s="772" t="s">
        <v>754</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315</v>
      </c>
      <c r="P55" s="881" t="s">
        <v>755</v>
      </c>
      <c r="Q55" s="881" t="s">
        <v>755</v>
      </c>
      <c r="R55" s="881" t="s">
        <v>755</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2146</v>
      </c>
      <c r="V55" s="769" t="s">
        <v>2146</v>
      </c>
      <c r="W55" s="769" t="s">
        <v>2146</v>
      </c>
      <c r="X55" s="769"/>
      <c r="Y55" s="923"/>
      <c r="Z55" s="772" t="s">
        <v>2147</v>
      </c>
      <c r="AA55" s="772" t="s">
        <v>2147</v>
      </c>
      <c r="AB55" s="772" t="s">
        <v>2147</v>
      </c>
      <c r="AC55" s="772" t="s">
        <v>2147</v>
      </c>
      <c r="AD55" s="772"/>
    </row>
    <row r="56" spans="1:30" ht="27" customHeight="1">
      <c r="A56" s="771"/>
      <c r="B56" s="823">
        <v>39</v>
      </c>
      <c r="C56" s="769" t="s">
        <v>1023</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1140</v>
      </c>
      <c r="P56" s="881" t="s">
        <v>758</v>
      </c>
      <c r="Q56" s="881" t="s">
        <v>758</v>
      </c>
      <c r="R56" s="881" t="s">
        <v>758</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2148</v>
      </c>
      <c r="V56" s="769" t="s">
        <v>2148</v>
      </c>
      <c r="W56" s="769" t="s">
        <v>2148</v>
      </c>
      <c r="X56" s="769"/>
      <c r="Y56" s="923"/>
      <c r="Z56" s="772" t="s">
        <v>760</v>
      </c>
      <c r="AA56" s="772" t="s">
        <v>760</v>
      </c>
      <c r="AB56" s="772" t="s">
        <v>760</v>
      </c>
      <c r="AC56" s="772" t="s">
        <v>760</v>
      </c>
      <c r="AD56" s="772"/>
    </row>
    <row r="57" spans="1:30" ht="27" customHeight="1">
      <c r="A57" s="771"/>
      <c r="B57" s="823">
        <v>40</v>
      </c>
      <c r="C57" s="769" t="s">
        <v>1025</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2149</v>
      </c>
      <c r="P57" s="881" t="s">
        <v>761</v>
      </c>
      <c r="Q57" s="881" t="s">
        <v>761</v>
      </c>
      <c r="R57" s="881" t="s">
        <v>761</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2150</v>
      </c>
      <c r="V57" s="769" t="s">
        <v>2150</v>
      </c>
      <c r="W57" s="769" t="s">
        <v>2150</v>
      </c>
      <c r="X57" s="769"/>
      <c r="Y57" s="923"/>
      <c r="Z57" s="772" t="s">
        <v>763</v>
      </c>
      <c r="AA57" s="772" t="s">
        <v>763</v>
      </c>
      <c r="AB57" s="772" t="s">
        <v>763</v>
      </c>
      <c r="AC57" s="772" t="s">
        <v>763</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883</v>
      </c>
      <c r="P58" s="881" t="s">
        <v>797</v>
      </c>
      <c r="Q58" s="881" t="s">
        <v>797</v>
      </c>
      <c r="R58" s="881" t="s">
        <v>797</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2151</v>
      </c>
      <c r="V58" s="769" t="s">
        <v>2151</v>
      </c>
      <c r="W58" s="769" t="s">
        <v>2151</v>
      </c>
      <c r="X58" s="769"/>
      <c r="Y58" s="923"/>
      <c r="Z58" s="772"/>
      <c r="AA58" s="775"/>
      <c r="AB58" s="772"/>
      <c r="AC58" s="772"/>
      <c r="AD58" s="772"/>
    </row>
    <row r="59" spans="1:30" ht="36" customHeight="1">
      <c r="A59" s="771"/>
      <c r="B59" s="823">
        <v>42</v>
      </c>
      <c r="C59" s="769">
        <v>3</v>
      </c>
      <c r="D59" s="891" t="s">
        <v>2139</v>
      </c>
      <c r="E59" s="769" t="s">
        <v>2139</v>
      </c>
      <c r="F59" s="769" t="s">
        <v>2139</v>
      </c>
      <c r="G59" s="769"/>
      <c r="H59" s="815"/>
      <c r="I59" s="927">
        <f t="shared" si="7"/>
        <v>0</v>
      </c>
      <c r="J59" s="927">
        <f t="shared" si="8"/>
        <v>0</v>
      </c>
      <c r="K59" s="927">
        <f t="shared" si="9"/>
        <v>0</v>
      </c>
      <c r="L59" s="770" t="str">
        <f t="shared" si="10"/>
        <v/>
      </c>
      <c r="M59" s="770" t="str">
        <f t="shared" si="11"/>
        <v/>
      </c>
      <c r="N59" s="770" t="str">
        <f t="shared" si="12"/>
        <v/>
      </c>
      <c r="O59" s="881"/>
      <c r="P59" s="881" t="s">
        <v>110</v>
      </c>
      <c r="Q59" s="881" t="s">
        <v>110</v>
      </c>
      <c r="R59" s="881" t="s">
        <v>110</v>
      </c>
      <c r="S59" s="881"/>
      <c r="T59" s="769"/>
      <c r="U59" s="769" t="s">
        <v>2152</v>
      </c>
      <c r="V59" s="769" t="s">
        <v>2153</v>
      </c>
      <c r="W59" s="769" t="s">
        <v>2154</v>
      </c>
      <c r="X59" s="769"/>
      <c r="Y59" s="923"/>
      <c r="Z59" s="772"/>
      <c r="AA59" s="775"/>
      <c r="AB59" s="772"/>
      <c r="AC59" s="772"/>
      <c r="AD59" s="772"/>
    </row>
    <row r="60" spans="1:30" ht="81" customHeight="1">
      <c r="A60" s="771"/>
      <c r="B60" s="823">
        <v>43</v>
      </c>
      <c r="C60" s="769" t="s">
        <v>2155</v>
      </c>
      <c r="D60" s="891" t="s">
        <v>2155</v>
      </c>
      <c r="E60" s="769" t="s">
        <v>2155</v>
      </c>
      <c r="F60" s="769" t="s">
        <v>2155</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91</v>
      </c>
      <c r="P60" s="881" t="s">
        <v>91</v>
      </c>
      <c r="Q60" s="881" t="s">
        <v>91</v>
      </c>
      <c r="R60" s="881" t="s">
        <v>91</v>
      </c>
      <c r="S60" s="881"/>
      <c r="T60" s="769" t="s">
        <v>631</v>
      </c>
      <c r="U60" s="769" t="s">
        <v>631</v>
      </c>
      <c r="V60" s="769" t="s">
        <v>631</v>
      </c>
      <c r="W60" s="769" t="s">
        <v>631</v>
      </c>
      <c r="X60" s="769"/>
      <c r="Y60" s="923"/>
      <c r="Z60" s="772" t="s">
        <v>2156</v>
      </c>
      <c r="AA60" s="775" t="s">
        <v>2157</v>
      </c>
      <c r="AB60" s="772" t="s">
        <v>2158</v>
      </c>
      <c r="AC60" s="772" t="s">
        <v>2157</v>
      </c>
      <c r="AD60" s="772"/>
    </row>
    <row r="61" spans="1:30" ht="9" customHeight="1">
      <c r="A61" s="771"/>
      <c r="B61" s="823">
        <v>44</v>
      </c>
      <c r="C61" s="769"/>
      <c r="D61" s="891" t="s">
        <v>2159</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92</v>
      </c>
      <c r="Q61" s="881"/>
      <c r="R61" s="881"/>
      <c r="S61" s="881"/>
      <c r="T61" s="769"/>
      <c r="U61" s="769" t="s">
        <v>2160</v>
      </c>
      <c r="V61" s="769"/>
      <c r="W61" s="769"/>
      <c r="X61" s="769"/>
      <c r="Y61" s="923"/>
      <c r="Z61" s="772"/>
      <c r="AA61" s="775"/>
      <c r="AB61" s="772"/>
      <c r="AC61" s="772"/>
      <c r="AD61" s="772"/>
    </row>
    <row r="62" spans="1:30" ht="9" customHeight="1">
      <c r="A62" s="771"/>
      <c r="B62" s="823">
        <v>45</v>
      </c>
      <c r="C62" s="769"/>
      <c r="D62" s="891" t="s">
        <v>2161</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111</v>
      </c>
      <c r="Q62" s="881"/>
      <c r="R62" s="881"/>
      <c r="S62" s="881"/>
      <c r="T62" s="769"/>
      <c r="U62" s="769" t="s">
        <v>2162</v>
      </c>
      <c r="V62" s="769"/>
      <c r="W62" s="769"/>
      <c r="X62" s="769"/>
      <c r="Y62" s="923"/>
      <c r="Z62" s="772"/>
      <c r="AA62" s="775"/>
      <c r="AB62" s="772"/>
      <c r="AC62" s="772"/>
      <c r="AD62" s="772"/>
    </row>
    <row r="63" spans="1:30" ht="18" customHeight="1">
      <c r="A63" s="771"/>
      <c r="B63" s="823">
        <v>46</v>
      </c>
      <c r="C63" s="769"/>
      <c r="D63" s="891" t="s">
        <v>2163</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147</v>
      </c>
      <c r="Q63" s="881"/>
      <c r="R63" s="881"/>
      <c r="S63" s="881"/>
      <c r="T63" s="769"/>
      <c r="U63" s="769" t="s">
        <v>2164</v>
      </c>
      <c r="V63" s="769"/>
      <c r="W63" s="769"/>
      <c r="X63" s="769"/>
      <c r="Y63" s="923"/>
      <c r="Z63" s="772"/>
      <c r="AA63" s="775"/>
      <c r="AB63" s="772"/>
      <c r="AC63" s="772"/>
      <c r="AD63" s="772"/>
    </row>
    <row r="64" spans="1:30" ht="18" customHeight="1">
      <c r="A64" s="771"/>
      <c r="B64" s="823">
        <v>47</v>
      </c>
      <c r="C64" s="769"/>
      <c r="D64" s="891" t="s">
        <v>2165</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148</v>
      </c>
      <c r="Q64" s="881"/>
      <c r="R64" s="881"/>
      <c r="S64" s="881"/>
      <c r="T64" s="769"/>
      <c r="U64" s="769" t="s">
        <v>2166</v>
      </c>
      <c r="V64" s="769"/>
      <c r="W64" s="769"/>
      <c r="X64" s="769"/>
      <c r="Y64" s="923"/>
      <c r="Z64" s="772"/>
      <c r="AA64" s="775" t="s">
        <v>2167</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2080</v>
      </c>
      <c r="Q65" s="881"/>
      <c r="R65" s="881"/>
      <c r="S65" s="881"/>
      <c r="T65" s="769"/>
      <c r="U65" s="769" t="s">
        <v>2168</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2084</v>
      </c>
      <c r="Q66" s="881"/>
      <c r="R66" s="881"/>
      <c r="S66" s="881"/>
      <c r="T66" s="769"/>
      <c r="U66" s="769" t="s">
        <v>2169</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2170</v>
      </c>
      <c r="Q67" s="881"/>
      <c r="R67" s="881"/>
      <c r="S67" s="881"/>
      <c r="T67" s="769"/>
      <c r="U67" s="769" t="s">
        <v>2171</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2172</v>
      </c>
      <c r="Q68" s="881"/>
      <c r="R68" s="881"/>
      <c r="S68" s="881"/>
      <c r="T68" s="769"/>
      <c r="U68" s="769" t="s">
        <v>2173</v>
      </c>
      <c r="V68" s="769"/>
      <c r="W68" s="769"/>
      <c r="X68" s="769"/>
      <c r="Y68" s="923"/>
      <c r="Z68" s="772"/>
      <c r="AA68" s="775"/>
      <c r="AB68" s="772"/>
      <c r="AC68" s="772"/>
      <c r="AD68" s="772"/>
    </row>
    <row r="69" spans="1:30" ht="9" customHeight="1">
      <c r="A69" s="771"/>
      <c r="B69" s="823">
        <v>52</v>
      </c>
      <c r="C69" s="769"/>
      <c r="D69" s="891" t="s">
        <v>2174</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149</v>
      </c>
      <c r="Q69" s="881"/>
      <c r="R69" s="881"/>
      <c r="S69" s="881"/>
      <c r="T69" s="769"/>
      <c r="U69" s="769" t="s">
        <v>2175</v>
      </c>
      <c r="V69" s="769"/>
      <c r="W69" s="769"/>
      <c r="X69" s="769"/>
      <c r="Y69" s="923"/>
      <c r="Z69" s="772"/>
      <c r="AA69" s="775"/>
      <c r="AB69" s="772"/>
      <c r="AC69" s="772"/>
      <c r="AD69" s="772"/>
    </row>
    <row r="70" spans="1:30" ht="27" customHeight="1">
      <c r="A70" s="771"/>
      <c r="B70" s="823">
        <v>53</v>
      </c>
      <c r="C70" s="769"/>
      <c r="D70" s="891"/>
      <c r="E70" s="769" t="s">
        <v>2159</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92</v>
      </c>
      <c r="R70" s="881"/>
      <c r="S70" s="881"/>
      <c r="T70" s="769"/>
      <c r="U70" s="769"/>
      <c r="V70" s="769" t="s">
        <v>2176</v>
      </c>
      <c r="W70" s="769"/>
      <c r="X70" s="769"/>
      <c r="Y70" s="923"/>
      <c r="Z70" s="772"/>
      <c r="AA70" s="775"/>
      <c r="AB70" s="772"/>
      <c r="AC70" s="772"/>
      <c r="AD70" s="772"/>
    </row>
    <row r="71" spans="1:30" ht="36" customHeight="1">
      <c r="A71" s="771"/>
      <c r="B71" s="823">
        <v>54</v>
      </c>
      <c r="C71" s="769"/>
      <c r="D71" s="891"/>
      <c r="E71" s="769" t="s">
        <v>2161</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111</v>
      </c>
      <c r="R71" s="881"/>
      <c r="S71" s="881"/>
      <c r="T71" s="769"/>
      <c r="U71" s="769"/>
      <c r="V71" s="769" t="s">
        <v>2177</v>
      </c>
      <c r="W71" s="769"/>
      <c r="X71" s="769"/>
      <c r="Y71" s="923"/>
      <c r="Z71" s="772"/>
      <c r="AA71" s="775"/>
      <c r="AB71" s="772"/>
      <c r="AC71" s="772"/>
      <c r="AD71" s="772"/>
    </row>
    <row r="72" spans="1:30" ht="27" customHeight="1">
      <c r="A72" s="771"/>
      <c r="B72" s="823">
        <v>55</v>
      </c>
      <c r="C72" s="769"/>
      <c r="D72" s="891"/>
      <c r="E72" s="769" t="s">
        <v>2163</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147</v>
      </c>
      <c r="R72" s="881"/>
      <c r="S72" s="881"/>
      <c r="T72" s="769"/>
      <c r="U72" s="769"/>
      <c r="V72" s="769" t="s">
        <v>2178</v>
      </c>
      <c r="W72" s="769"/>
      <c r="X72" s="769"/>
      <c r="Y72" s="923"/>
      <c r="Z72" s="772"/>
      <c r="AA72" s="775"/>
      <c r="AB72" s="772"/>
      <c r="AC72" s="772"/>
      <c r="AD72" s="772"/>
    </row>
    <row r="73" spans="1:30" ht="36" customHeight="1">
      <c r="A73" s="771"/>
      <c r="B73" s="823">
        <v>56</v>
      </c>
      <c r="C73" s="769"/>
      <c r="D73" s="891"/>
      <c r="E73" s="769" t="s">
        <v>2165</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148</v>
      </c>
      <c r="R73" s="881"/>
      <c r="S73" s="881"/>
      <c r="T73" s="769"/>
      <c r="U73" s="769"/>
      <c r="V73" s="769" t="s">
        <v>2179</v>
      </c>
      <c r="W73" s="769"/>
      <c r="X73" s="769"/>
      <c r="Y73" s="923"/>
      <c r="Z73" s="772"/>
      <c r="AA73" s="775"/>
      <c r="AB73" s="772"/>
      <c r="AC73" s="772"/>
      <c r="AD73" s="772"/>
    </row>
    <row r="74" spans="1:30" ht="18" customHeight="1">
      <c r="A74" s="771"/>
      <c r="B74" s="823">
        <v>57</v>
      </c>
      <c r="C74" s="769"/>
      <c r="D74" s="891"/>
      <c r="E74" s="769" t="s">
        <v>2174</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149</v>
      </c>
      <c r="R74" s="881"/>
      <c r="S74" s="881"/>
      <c r="T74" s="769"/>
      <c r="U74" s="769"/>
      <c r="V74" s="769" t="s">
        <v>2180</v>
      </c>
      <c r="W74" s="769"/>
      <c r="X74" s="769"/>
      <c r="Y74" s="923"/>
      <c r="Z74" s="772"/>
      <c r="AA74" s="775"/>
      <c r="AB74" s="772"/>
      <c r="AC74" s="772"/>
      <c r="AD74" s="772"/>
    </row>
    <row r="75" spans="1:30" ht="18" customHeight="1">
      <c r="A75" s="771"/>
      <c r="B75" s="823">
        <v>58</v>
      </c>
      <c r="C75" s="769"/>
      <c r="D75" s="891"/>
      <c r="E75" s="769"/>
      <c r="F75" s="769" t="s">
        <v>2159</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92</v>
      </c>
      <c r="S75" s="881"/>
      <c r="T75" s="769"/>
      <c r="U75" s="769"/>
      <c r="V75" s="769"/>
      <c r="W75" s="769" t="s">
        <v>2181</v>
      </c>
      <c r="X75" s="769"/>
      <c r="Y75" s="923"/>
      <c r="Z75" s="772"/>
      <c r="AA75" s="775"/>
      <c r="AB75" s="772"/>
      <c r="AC75" s="772"/>
      <c r="AD75" s="772"/>
    </row>
    <row r="76" spans="1:30" ht="36" customHeight="1">
      <c r="A76" s="771"/>
      <c r="B76" s="823">
        <v>59</v>
      </c>
      <c r="C76" s="769"/>
      <c r="D76" s="891"/>
      <c r="E76" s="769"/>
      <c r="F76" s="769" t="s">
        <v>2161</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111</v>
      </c>
      <c r="S76" s="881"/>
      <c r="T76" s="769"/>
      <c r="U76" s="769"/>
      <c r="V76" s="769"/>
      <c r="W76" s="769" t="s">
        <v>2182</v>
      </c>
      <c r="X76" s="769"/>
      <c r="Y76" s="923"/>
      <c r="Z76" s="772"/>
      <c r="AA76" s="775"/>
      <c r="AB76" s="772"/>
      <c r="AC76" s="772"/>
      <c r="AD76" s="772"/>
    </row>
    <row r="77" spans="1:30" ht="18" customHeight="1">
      <c r="A77" s="771"/>
      <c r="B77" s="823">
        <v>60</v>
      </c>
      <c r="C77" s="769"/>
      <c r="D77" s="891"/>
      <c r="E77" s="769"/>
      <c r="F77" s="769" t="s">
        <v>2163</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147</v>
      </c>
      <c r="S77" s="881"/>
      <c r="T77" s="769"/>
      <c r="U77" s="769"/>
      <c r="V77" s="769"/>
      <c r="W77" s="769" t="s">
        <v>2183</v>
      </c>
      <c r="X77" s="769"/>
      <c r="Y77" s="923"/>
      <c r="Z77" s="772"/>
      <c r="AA77" s="775"/>
      <c r="AB77" s="772"/>
      <c r="AC77" s="772"/>
      <c r="AD77" s="772"/>
    </row>
    <row r="78" spans="1:30" ht="72" customHeight="1">
      <c r="A78" s="771"/>
      <c r="B78" s="823">
        <v>61</v>
      </c>
      <c r="C78" s="769" t="s">
        <v>2159</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92</v>
      </c>
      <c r="P78" s="881"/>
      <c r="Q78" s="881"/>
      <c r="R78" s="881"/>
      <c r="S78" s="881"/>
      <c r="T78" s="769" t="s">
        <v>636</v>
      </c>
      <c r="U78" s="769"/>
      <c r="V78" s="769"/>
      <c r="W78" s="769"/>
      <c r="X78" s="769"/>
      <c r="Y78" s="923"/>
      <c r="Z78" s="772" t="s">
        <v>2184</v>
      </c>
      <c r="AA78" s="775"/>
      <c r="AB78" s="772"/>
      <c r="AC78" s="772"/>
      <c r="AD78" s="772"/>
    </row>
    <row r="79" spans="1:30" ht="36" customHeight="1">
      <c r="A79" s="771"/>
      <c r="B79" s="823">
        <v>62</v>
      </c>
      <c r="C79" s="769" t="s">
        <v>2161</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111</v>
      </c>
      <c r="P79" s="881"/>
      <c r="Q79" s="881"/>
      <c r="R79" s="881"/>
      <c r="S79" s="881"/>
      <c r="T79" s="769" t="s">
        <v>2185</v>
      </c>
      <c r="U79" s="769"/>
      <c r="V79" s="769"/>
      <c r="W79" s="769"/>
      <c r="X79" s="769"/>
      <c r="Y79" s="923"/>
      <c r="Z79" s="772" t="s">
        <v>2186</v>
      </c>
      <c r="AA79" s="775"/>
      <c r="AB79" s="772"/>
      <c r="AC79" s="772"/>
      <c r="AD79" s="772"/>
    </row>
    <row r="80" spans="1:30" ht="45" customHeight="1">
      <c r="A80" s="771"/>
      <c r="B80" s="823">
        <v>63</v>
      </c>
      <c r="C80" s="769" t="s">
        <v>2163</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147</v>
      </c>
      <c r="P80" s="881"/>
      <c r="Q80" s="881"/>
      <c r="R80" s="881"/>
      <c r="S80" s="881"/>
      <c r="T80" s="769" t="s">
        <v>2187</v>
      </c>
      <c r="U80" s="769"/>
      <c r="V80" s="769"/>
      <c r="W80" s="769"/>
      <c r="X80" s="769"/>
      <c r="Y80" s="923"/>
      <c r="Z80" s="772" t="s">
        <v>2188</v>
      </c>
      <c r="AA80" s="775"/>
      <c r="AB80" s="772"/>
      <c r="AC80" s="772"/>
      <c r="AD80" s="772"/>
    </row>
    <row r="81" spans="1:30" ht="36" customHeight="1">
      <c r="A81" s="771"/>
      <c r="B81" s="823">
        <v>64</v>
      </c>
      <c r="C81" s="769" t="s">
        <v>2165</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2071</v>
      </c>
      <c r="P81" s="881"/>
      <c r="Q81" s="881"/>
      <c r="R81" s="881"/>
      <c r="S81" s="881"/>
      <c r="T81" s="769" t="s">
        <v>2189</v>
      </c>
      <c r="U81" s="769"/>
      <c r="V81" s="769"/>
      <c r="W81" s="769"/>
      <c r="X81" s="769"/>
      <c r="Y81" s="923"/>
      <c r="Z81" s="772" t="s">
        <v>2190</v>
      </c>
      <c r="AA81" s="775"/>
      <c r="AB81" s="772"/>
      <c r="AC81" s="772"/>
      <c r="AD81" s="772"/>
    </row>
    <row r="82" spans="1:30" ht="90" customHeight="1">
      <c r="A82" s="771"/>
      <c r="B82" s="823">
        <v>65</v>
      </c>
      <c r="C82" s="769" t="s">
        <v>2174</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148</v>
      </c>
      <c r="P82" s="881"/>
      <c r="Q82" s="881"/>
      <c r="R82" s="881"/>
      <c r="S82" s="881"/>
      <c r="T82" s="769" t="s">
        <v>2191</v>
      </c>
      <c r="U82" s="769"/>
      <c r="V82" s="769"/>
      <c r="W82" s="769"/>
      <c r="X82" s="769"/>
      <c r="Y82" s="923"/>
      <c r="Z82" s="772" t="s">
        <v>2192</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2080</v>
      </c>
      <c r="P83" s="881"/>
      <c r="Q83" s="881"/>
      <c r="R83" s="881"/>
      <c r="S83" s="881"/>
      <c r="T83" s="769" t="s">
        <v>2193</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2194</v>
      </c>
      <c r="P84" s="881"/>
      <c r="Q84" s="881"/>
      <c r="R84" s="881"/>
      <c r="S84" s="881"/>
      <c r="T84" s="769" t="s">
        <v>2195</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2084</v>
      </c>
      <c r="P85" s="881"/>
      <c r="Q85" s="881"/>
      <c r="R85" s="881"/>
      <c r="S85" s="881"/>
      <c r="T85" s="769" t="s">
        <v>2196</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2197</v>
      </c>
      <c r="P86" s="881"/>
      <c r="Q86" s="881"/>
      <c r="R86" s="881"/>
      <c r="S86" s="881"/>
      <c r="T86" s="769" t="s">
        <v>2198</v>
      </c>
      <c r="U86" s="769"/>
      <c r="V86" s="769"/>
      <c r="W86" s="769"/>
      <c r="X86" s="769"/>
      <c r="Y86" s="923"/>
      <c r="Z86" s="772"/>
      <c r="AA86" s="775"/>
      <c r="AB86" s="772"/>
      <c r="AC86" s="772"/>
      <c r="AD86" s="772"/>
    </row>
    <row r="87" spans="1:30" ht="36" customHeight="1">
      <c r="A87" s="771"/>
      <c r="B87" s="823">
        <v>70</v>
      </c>
      <c r="C87" s="769" t="s">
        <v>2199</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149</v>
      </c>
      <c r="P87" s="881"/>
      <c r="Q87" s="881"/>
      <c r="R87" s="881"/>
      <c r="S87" s="881"/>
      <c r="T87" s="769" t="s">
        <v>2200</v>
      </c>
      <c r="U87" s="769"/>
      <c r="V87" s="769"/>
      <c r="W87" s="769"/>
      <c r="X87" s="769"/>
      <c r="Y87" s="923"/>
      <c r="Z87" s="772"/>
      <c r="AA87" s="775"/>
      <c r="AB87" s="772"/>
      <c r="AC87" s="772"/>
      <c r="AD87" s="772"/>
    </row>
    <row r="88" spans="1:30" ht="18" customHeight="1">
      <c r="A88" s="771"/>
      <c r="B88" s="823">
        <v>71</v>
      </c>
      <c r="C88" s="769" t="s">
        <v>2201</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98</v>
      </c>
      <c r="P88" s="881"/>
      <c r="Q88" s="881"/>
      <c r="R88" s="881"/>
      <c r="S88" s="881"/>
      <c r="T88" s="769" t="s">
        <v>668</v>
      </c>
      <c r="U88" s="769"/>
      <c r="V88" s="769"/>
      <c r="W88" s="769"/>
      <c r="X88" s="769"/>
      <c r="Y88" s="923"/>
      <c r="Z88" s="772"/>
      <c r="AA88" s="775"/>
      <c r="AB88" s="772"/>
      <c r="AC88" s="772"/>
      <c r="AD88" s="772"/>
    </row>
    <row r="89" spans="1:30" ht="18" customHeight="1">
      <c r="A89" s="771"/>
      <c r="B89" s="823">
        <v>72</v>
      </c>
      <c r="C89" s="769" t="s">
        <v>2202</v>
      </c>
      <c r="D89" s="891" t="s">
        <v>2199</v>
      </c>
      <c r="E89" s="769" t="s">
        <v>2199</v>
      </c>
      <c r="F89" s="769" t="s">
        <v>2165</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150</v>
      </c>
      <c r="P89" s="881" t="s">
        <v>98</v>
      </c>
      <c r="Q89" s="881" t="s">
        <v>98</v>
      </c>
      <c r="R89" s="881" t="s">
        <v>148</v>
      </c>
      <c r="S89" s="881"/>
      <c r="T89" s="769" t="s">
        <v>676</v>
      </c>
      <c r="U89" s="769" t="s">
        <v>676</v>
      </c>
      <c r="V89" s="769" t="s">
        <v>676</v>
      </c>
      <c r="W89" s="769" t="s">
        <v>676</v>
      </c>
      <c r="X89" s="769"/>
      <c r="Y89" s="923"/>
      <c r="Z89" s="772"/>
      <c r="AA89" s="775"/>
      <c r="AB89" s="772"/>
      <c r="AC89" s="772"/>
      <c r="AD89" s="772"/>
    </row>
    <row r="90" spans="1:30" ht="27" customHeight="1">
      <c r="A90" s="771"/>
      <c r="B90" s="823">
        <v>73</v>
      </c>
      <c r="C90" s="769" t="s">
        <v>2203</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151</v>
      </c>
      <c r="P90" s="881"/>
      <c r="Q90" s="881"/>
      <c r="R90" s="881"/>
      <c r="S90" s="881"/>
      <c r="T90" s="769" t="s">
        <v>678</v>
      </c>
      <c r="U90" s="769"/>
      <c r="V90" s="769"/>
      <c r="W90" s="769"/>
      <c r="X90" s="769"/>
      <c r="Y90" s="923"/>
      <c r="Z90" s="772"/>
      <c r="AA90" s="775"/>
      <c r="AB90" s="772"/>
      <c r="AC90" s="772"/>
      <c r="AD90" s="772"/>
    </row>
    <row r="91" spans="1:30" ht="18" customHeight="1">
      <c r="A91" s="771"/>
      <c r="B91" s="823">
        <v>74</v>
      </c>
      <c r="C91" s="769"/>
      <c r="D91" s="891" t="s">
        <v>2201</v>
      </c>
      <c r="E91" s="769" t="s">
        <v>2201</v>
      </c>
      <c r="F91" s="769"/>
      <c r="G91" s="769"/>
      <c r="H91" s="815"/>
      <c r="I91" s="927">
        <f t="shared" si="13"/>
        <v>0</v>
      </c>
      <c r="J91" s="927">
        <f t="shared" si="14"/>
        <v>0</v>
      </c>
      <c r="K91" s="927">
        <f t="shared" si="15"/>
        <v>0</v>
      </c>
      <c r="L91" s="770" t="str">
        <f t="shared" si="16"/>
        <v/>
      </c>
      <c r="M91" s="770" t="str">
        <f t="shared" si="17"/>
        <v/>
      </c>
      <c r="N91" s="770" t="str">
        <f t="shared" si="18"/>
        <v/>
      </c>
      <c r="O91" s="881"/>
      <c r="P91" s="881" t="s">
        <v>150</v>
      </c>
      <c r="Q91" s="881" t="s">
        <v>150</v>
      </c>
      <c r="R91" s="881"/>
      <c r="S91" s="881"/>
      <c r="T91" s="769"/>
      <c r="U91" s="769" t="s">
        <v>2204</v>
      </c>
      <c r="V91" s="769" t="s">
        <v>2204</v>
      </c>
      <c r="W91" s="769"/>
      <c r="X91" s="769"/>
      <c r="Y91" s="923"/>
      <c r="Z91" s="772"/>
      <c r="AA91" s="775"/>
      <c r="AB91" s="772"/>
      <c r="AC91" s="772"/>
      <c r="AD91" s="772"/>
    </row>
    <row r="92" spans="1:30" ht="27" customHeight="1">
      <c r="A92" s="771"/>
      <c r="B92" s="823">
        <v>75</v>
      </c>
      <c r="C92" s="769"/>
      <c r="D92" s="891" t="s">
        <v>2202</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151</v>
      </c>
      <c r="Q92" s="881"/>
      <c r="R92" s="881"/>
      <c r="S92" s="881"/>
      <c r="T92" s="769"/>
      <c r="U92" s="769" t="s">
        <v>2205</v>
      </c>
      <c r="V92" s="769"/>
      <c r="W92" s="769"/>
      <c r="X92" s="769"/>
      <c r="Y92" s="923"/>
      <c r="Z92" s="772"/>
      <c r="AA92" s="775" t="s">
        <v>2206</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2112</v>
      </c>
      <c r="Q93" s="881"/>
      <c r="R93" s="881"/>
      <c r="S93" s="881"/>
      <c r="T93" s="769"/>
      <c r="U93" s="769" t="s">
        <v>2207</v>
      </c>
      <c r="V93" s="769"/>
      <c r="W93" s="769"/>
      <c r="X93" s="769"/>
      <c r="Y93" s="923"/>
      <c r="Z93" s="772"/>
      <c r="AA93" s="775" t="s">
        <v>2208</v>
      </c>
      <c r="AB93" s="772"/>
      <c r="AC93" s="772"/>
      <c r="AD93" s="772"/>
    </row>
    <row r="94" spans="1:30" ht="45" customHeight="1">
      <c r="A94" s="771"/>
      <c r="B94" s="823">
        <v>77</v>
      </c>
      <c r="C94" s="769"/>
      <c r="D94" s="891" t="s">
        <v>2203</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1465</v>
      </c>
      <c r="Q94" s="881"/>
      <c r="R94" s="881"/>
      <c r="S94" s="881"/>
      <c r="T94" s="769"/>
      <c r="U94" s="769" t="s">
        <v>2209</v>
      </c>
      <c r="V94" s="769"/>
      <c r="W94" s="769"/>
      <c r="X94" s="769"/>
      <c r="Y94" s="923"/>
      <c r="Z94" s="772"/>
      <c r="AA94" s="775" t="s">
        <v>2210</v>
      </c>
      <c r="AB94" s="772"/>
      <c r="AC94" s="772"/>
      <c r="AD94" s="772"/>
    </row>
    <row r="95" spans="1:30" ht="99" customHeight="1">
      <c r="A95" s="771"/>
      <c r="B95" s="823">
        <v>78</v>
      </c>
      <c r="C95" s="769" t="s">
        <v>2211</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1465</v>
      </c>
      <c r="P95" s="881"/>
      <c r="Q95" s="881"/>
      <c r="R95" s="881"/>
      <c r="S95" s="881"/>
      <c r="T95" s="769" t="s">
        <v>2212</v>
      </c>
      <c r="U95" s="769"/>
      <c r="V95" s="769"/>
      <c r="W95" s="769"/>
      <c r="X95" s="769"/>
      <c r="Y95" s="923"/>
      <c r="Z95" s="772"/>
      <c r="AA95" s="775"/>
      <c r="AB95" s="772"/>
      <c r="AC95" s="772"/>
      <c r="AD95" s="772"/>
    </row>
    <row r="96" spans="1:30" ht="99" customHeight="1">
      <c r="A96" s="771"/>
      <c r="B96" s="823">
        <v>79</v>
      </c>
      <c r="C96" s="769" t="s">
        <v>1149</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1471</v>
      </c>
      <c r="P96" s="881"/>
      <c r="Q96" s="881"/>
      <c r="R96" s="881"/>
      <c r="S96" s="881"/>
      <c r="T96" s="769" t="s">
        <v>2213</v>
      </c>
      <c r="U96" s="769"/>
      <c r="V96" s="769"/>
      <c r="W96" s="769"/>
      <c r="X96" s="769"/>
      <c r="Y96" s="923"/>
      <c r="Z96" s="772" t="s">
        <v>2214</v>
      </c>
      <c r="AA96" s="775"/>
      <c r="AB96" s="772"/>
      <c r="AC96" s="772"/>
      <c r="AD96" s="772"/>
    </row>
    <row r="97" spans="1:30" ht="63" customHeight="1">
      <c r="A97" s="771"/>
      <c r="B97" s="823">
        <v>80</v>
      </c>
      <c r="C97" s="769" t="s">
        <v>2215</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1483</v>
      </c>
      <c r="P97" s="881"/>
      <c r="Q97" s="881"/>
      <c r="R97" s="881"/>
      <c r="S97" s="881"/>
      <c r="T97" s="769" t="s">
        <v>2216</v>
      </c>
      <c r="U97" s="769"/>
      <c r="V97" s="769"/>
      <c r="W97" s="769"/>
      <c r="X97" s="769"/>
      <c r="Y97" s="923"/>
      <c r="Z97" s="772" t="s">
        <v>2217</v>
      </c>
      <c r="AA97" s="775"/>
      <c r="AB97" s="772"/>
      <c r="AC97" s="772"/>
      <c r="AD97" s="772"/>
    </row>
    <row r="98" spans="1:30" ht="63" customHeight="1">
      <c r="A98" s="771"/>
      <c r="B98" s="823">
        <v>81</v>
      </c>
      <c r="C98" s="769" t="s">
        <v>2218</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1497</v>
      </c>
      <c r="P98" s="881"/>
      <c r="Q98" s="881"/>
      <c r="R98" s="881"/>
      <c r="S98" s="881"/>
      <c r="T98" s="769" t="s">
        <v>2219</v>
      </c>
      <c r="U98" s="769"/>
      <c r="V98" s="769"/>
      <c r="W98" s="769"/>
      <c r="X98" s="769"/>
      <c r="Y98" s="923"/>
      <c r="Z98" s="772" t="s">
        <v>2217</v>
      </c>
      <c r="AA98" s="775"/>
      <c r="AB98" s="772"/>
      <c r="AC98" s="772"/>
      <c r="AD98" s="772"/>
    </row>
    <row r="99" spans="1:30" ht="90" customHeight="1">
      <c r="A99" s="771"/>
      <c r="B99" s="823">
        <v>82</v>
      </c>
      <c r="C99" s="769" t="s">
        <v>2220</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1509</v>
      </c>
      <c r="P99" s="881"/>
      <c r="Q99" s="881"/>
      <c r="R99" s="881"/>
      <c r="S99" s="881"/>
      <c r="T99" s="769" t="s">
        <v>2221</v>
      </c>
      <c r="U99" s="769"/>
      <c r="V99" s="769"/>
      <c r="W99" s="769"/>
      <c r="X99" s="769"/>
      <c r="Y99" s="923"/>
      <c r="Z99" s="772" t="s">
        <v>633</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2222</v>
      </c>
      <c r="P100" s="881"/>
      <c r="Q100" s="881"/>
      <c r="R100" s="881"/>
      <c r="S100" s="881"/>
      <c r="T100" s="769" t="s">
        <v>2223</v>
      </c>
      <c r="U100" s="769"/>
      <c r="V100" s="769"/>
      <c r="W100" s="769"/>
      <c r="X100" s="769"/>
      <c r="Y100" s="923"/>
      <c r="Z100" s="772" t="s">
        <v>633</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2224</v>
      </c>
      <c r="P101" s="881"/>
      <c r="Q101" s="881"/>
      <c r="R101" s="881"/>
      <c r="S101" s="881"/>
      <c r="T101" s="769" t="s">
        <v>2225</v>
      </c>
      <c r="U101" s="769"/>
      <c r="V101" s="769"/>
      <c r="W101" s="769"/>
      <c r="X101" s="769"/>
      <c r="Y101" s="923"/>
      <c r="Z101" s="772" t="s">
        <v>633</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1664</v>
      </c>
      <c r="B148" s="771"/>
      <c r="C148" s="769" t="s">
        <v>2226</v>
      </c>
      <c r="D148" s="769" t="s">
        <v>1565</v>
      </c>
      <c r="E148" s="769" t="s">
        <v>1666</v>
      </c>
      <c r="F148" s="769" t="s">
        <v>2227</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2228</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2229</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1668</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1671</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1675</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519" hidden="1"/>
    <col min="2" max="2" width="11" style="2519" hidden="1" customWidth="1"/>
    <col min="3" max="3" width="10.5703125" style="2519" hidden="1"/>
    <col min="4" max="4" width="11.85546875" style="2519" hidden="1" customWidth="1"/>
    <col min="5" max="5" width="12.28515625" style="2519" hidden="1" customWidth="1"/>
    <col min="6" max="8" width="12.28515625" style="2546" hidden="1" customWidth="1"/>
    <col min="9" max="9" width="3" style="2547" customWidth="1"/>
    <col min="10" max="11" width="3" style="2548" customWidth="1"/>
    <col min="12" max="12" width="12" style="2549" customWidth="1"/>
    <col min="13" max="13" width="31" style="2513" customWidth="1"/>
    <col min="14" max="14" width="1" style="2513" customWidth="1"/>
    <col min="15" max="18" width="24" style="2513" customWidth="1"/>
    <col min="19" max="19" width="11" style="2513" customWidth="1"/>
    <col min="20" max="20" width="3.7109375" style="2513" customWidth="1"/>
    <col min="21" max="21" width="11" style="2513" customWidth="1"/>
    <col min="22" max="22" width="8.5703125" style="2513" customWidth="1"/>
    <col min="23" max="23" width="4" style="2513" customWidth="1"/>
    <col min="24" max="24" width="115" style="2513" customWidth="1"/>
    <col min="25" max="29" width="10" style="2520" customWidth="1"/>
    <col min="30" max="30" width="10.5703125" style="2513"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3038" t="s">
        <v>2230</v>
      </c>
      <c r="M5" s="3038"/>
      <c r="N5" s="3038"/>
      <c r="O5" s="3038"/>
      <c r="P5" s="3038"/>
      <c r="Q5" s="3038"/>
      <c r="R5" s="3038"/>
      <c r="S5" s="3038"/>
      <c r="T5" s="3038"/>
      <c r="U5" s="3038"/>
      <c r="V5" s="1161"/>
      <c r="AD5" s="1073">
        <v>64</v>
      </c>
    </row>
    <row r="6" spans="1:30" ht="14.65" customHeight="1">
      <c r="J6" s="311"/>
      <c r="K6" s="311"/>
      <c r="L6" s="3039" t="str">
        <f>IF(org=0,"Не определено",org)</f>
        <v>ООО "Ноябрьская ПГЭ"</v>
      </c>
      <c r="M6" s="3039"/>
      <c r="N6" s="3039"/>
      <c r="O6" s="3039"/>
      <c r="P6" s="3039"/>
      <c r="Q6" s="3039"/>
      <c r="R6" s="3039"/>
      <c r="S6" s="3039"/>
      <c r="T6" s="3039"/>
      <c r="U6" s="3039"/>
      <c r="V6" s="1161"/>
      <c r="AD6" s="1073">
        <v>14</v>
      </c>
    </row>
    <row r="7" spans="1:30" ht="14.65" customHeight="1">
      <c r="J7" s="311"/>
      <c r="K7" s="311"/>
      <c r="L7" s="1193"/>
      <c r="M7" s="298"/>
      <c r="N7" s="298"/>
      <c r="O7" s="258"/>
      <c r="P7" s="258"/>
      <c r="Q7" s="258"/>
      <c r="R7" s="258"/>
      <c r="S7" s="258"/>
      <c r="T7" s="258"/>
      <c r="U7" s="258"/>
      <c r="V7" s="258"/>
      <c r="W7" s="444"/>
      <c r="AD7" s="1073">
        <v>14</v>
      </c>
    </row>
    <row r="8" spans="1:30" s="2529" customFormat="1" ht="48.2" customHeight="1">
      <c r="A8" s="1286"/>
      <c r="B8" s="1286"/>
      <c r="C8" s="1286"/>
      <c r="D8" s="1286"/>
      <c r="E8" s="1286"/>
      <c r="F8" s="1286"/>
      <c r="G8" s="1286"/>
      <c r="H8" s="1286"/>
      <c r="L8" s="1194"/>
      <c r="M8" s="231" t="s">
        <v>42</v>
      </c>
      <c r="N8" s="240"/>
      <c r="O8" s="2754" t="str">
        <f>IF(TITLE_NAME_OR_PR_CHANGE="",IF(TITLE_NAME_OR_PR="","",TITLE_NAME_OR_PR),TITLE_NAME_OR_PR_CHANGE)</f>
        <v/>
      </c>
      <c r="P8" s="2754"/>
      <c r="Q8" s="2754"/>
      <c r="R8" s="2754"/>
      <c r="S8" s="2754"/>
      <c r="T8" s="2754"/>
      <c r="U8" s="2754"/>
      <c r="V8" s="262"/>
      <c r="W8" s="262"/>
      <c r="X8" s="216"/>
      <c r="Y8" s="303"/>
      <c r="Z8" s="303"/>
      <c r="AA8" s="303"/>
      <c r="AB8" s="303"/>
      <c r="AC8" s="303"/>
      <c r="AD8" s="353">
        <v>46</v>
      </c>
    </row>
    <row r="9" spans="1:30" s="2529" customFormat="1" ht="24" customHeight="1">
      <c r="A9" s="1286"/>
      <c r="B9" s="1286"/>
      <c r="C9" s="1286"/>
      <c r="D9" s="1286"/>
      <c r="E9" s="1286"/>
      <c r="F9" s="1286"/>
      <c r="G9" s="1286"/>
      <c r="H9" s="1286"/>
      <c r="L9" s="1194"/>
      <c r="M9" s="231" t="s">
        <v>422</v>
      </c>
      <c r="N9" s="240"/>
      <c r="O9" s="2754">
        <f>IF(TITLE_DATE_CHANGE_PERIOD="",IF(TITLE_DATE_PR="","",TITLE_DATE_PR),TITLE_DATE_CHANGE_PERIOD)</f>
        <v>45658.634050925924</v>
      </c>
      <c r="P9" s="2754"/>
      <c r="Q9" s="2754"/>
      <c r="R9" s="2754"/>
      <c r="S9" s="2754"/>
      <c r="T9" s="2754"/>
      <c r="U9" s="2754"/>
      <c r="V9" s="262"/>
      <c r="W9" s="262"/>
      <c r="X9" s="216"/>
      <c r="Y9" s="303"/>
      <c r="Z9" s="303"/>
      <c r="AA9" s="303"/>
      <c r="AB9" s="303"/>
      <c r="AC9" s="303"/>
      <c r="AD9" s="353">
        <v>23</v>
      </c>
    </row>
    <row r="10" spans="1:30" s="2529" customFormat="1" ht="24" customHeight="1">
      <c r="A10" s="1286"/>
      <c r="B10" s="1286"/>
      <c r="C10" s="1286"/>
      <c r="D10" s="1286"/>
      <c r="E10" s="1286"/>
      <c r="F10" s="1286"/>
      <c r="G10" s="1286"/>
      <c r="H10" s="1286"/>
      <c r="L10" s="1168"/>
      <c r="M10" s="231" t="s">
        <v>423</v>
      </c>
      <c r="N10" s="240"/>
      <c r="O10" s="2754" t="str">
        <f>IF(TITLE_NUMBER_PR_CHANGE="",IF(TITLE_NUMBER_PR="","",TITLE_NUMBER_PR),TITLE_NUMBER_PR_CHANGE)</f>
        <v>18-3341</v>
      </c>
      <c r="P10" s="2754"/>
      <c r="Q10" s="2754"/>
      <c r="R10" s="2754"/>
      <c r="S10" s="2754"/>
      <c r="T10" s="2754"/>
      <c r="U10" s="2754"/>
      <c r="V10" s="262"/>
      <c r="W10" s="262"/>
      <c r="X10" s="216"/>
      <c r="Y10" s="303"/>
      <c r="Z10" s="303"/>
      <c r="AA10" s="303"/>
      <c r="AB10" s="303"/>
      <c r="AC10" s="303"/>
      <c r="AD10" s="353">
        <v>23</v>
      </c>
    </row>
    <row r="11" spans="1:30" s="2529" customFormat="1" ht="24" customHeight="1">
      <c r="A11" s="1286"/>
      <c r="B11" s="1286"/>
      <c r="C11" s="1286"/>
      <c r="D11" s="1286"/>
      <c r="E11" s="1286"/>
      <c r="F11" s="1286"/>
      <c r="G11" s="1286"/>
      <c r="H11" s="1286"/>
      <c r="L11" s="1168"/>
      <c r="M11" s="231" t="s">
        <v>43</v>
      </c>
      <c r="N11" s="240"/>
      <c r="O11" s="2754" t="str">
        <f>IF(TITLE_IST_PUB_CHANGE="",IF(TITLE_IST_PUB="","",TITLE_IST_PUB),TITLE_IST_PUB_CHANGE)</f>
        <v/>
      </c>
      <c r="P11" s="2754"/>
      <c r="Q11" s="2754"/>
      <c r="R11" s="2754"/>
      <c r="S11" s="2754"/>
      <c r="T11" s="2754"/>
      <c r="U11" s="2754"/>
      <c r="V11" s="262"/>
      <c r="W11" s="262"/>
      <c r="X11" s="216"/>
      <c r="Y11" s="303"/>
      <c r="Z11" s="303"/>
      <c r="AA11" s="303"/>
      <c r="AB11" s="303"/>
      <c r="AC11" s="303"/>
      <c r="AD11" s="353">
        <v>23</v>
      </c>
    </row>
    <row r="12" spans="1:30" s="2529" customFormat="1" ht="11.25" hidden="1" customHeight="1">
      <c r="A12" s="1286"/>
      <c r="B12" s="1286"/>
      <c r="C12" s="1286"/>
      <c r="D12" s="1286"/>
      <c r="E12" s="1286"/>
      <c r="F12" s="1286"/>
      <c r="G12" s="1286"/>
      <c r="H12" s="1286"/>
      <c r="L12" s="3040"/>
      <c r="M12" s="3040"/>
      <c r="N12" s="1205"/>
      <c r="O12" s="262"/>
      <c r="P12" s="262"/>
      <c r="Q12" s="262"/>
      <c r="R12" s="262"/>
      <c r="S12" s="262"/>
      <c r="T12" s="262"/>
      <c r="U12" s="262"/>
      <c r="V12" s="214" t="s">
        <v>426</v>
      </c>
      <c r="Y12" s="303"/>
      <c r="Z12" s="303"/>
      <c r="AA12" s="303"/>
      <c r="AB12" s="303"/>
      <c r="AC12" s="303"/>
      <c r="AD12" s="353">
        <v>0</v>
      </c>
    </row>
    <row r="13" spans="1:30" ht="14.65" customHeight="1">
      <c r="J13" s="311"/>
      <c r="K13" s="311"/>
      <c r="L13" s="1193"/>
      <c r="M13" s="298"/>
      <c r="N13" s="1162"/>
      <c r="O13" s="2756"/>
      <c r="P13" s="2756"/>
      <c r="Q13" s="2756"/>
      <c r="R13" s="2756"/>
      <c r="S13" s="2756"/>
      <c r="T13" s="2756"/>
      <c r="U13" s="2756"/>
      <c r="V13" s="2756"/>
      <c r="AD13" s="1073">
        <v>14</v>
      </c>
    </row>
    <row r="14" spans="1:30" ht="14.65" customHeight="1">
      <c r="J14" s="311"/>
      <c r="K14" s="311"/>
      <c r="L14" s="2638" t="s">
        <v>302</v>
      </c>
      <c r="M14" s="2638"/>
      <c r="N14" s="2638"/>
      <c r="O14" s="2638"/>
      <c r="P14" s="2638"/>
      <c r="Q14" s="2638"/>
      <c r="R14" s="2638"/>
      <c r="S14" s="2638"/>
      <c r="T14" s="2638"/>
      <c r="U14" s="2638"/>
      <c r="V14" s="2638"/>
      <c r="W14" s="2638"/>
      <c r="X14" s="2638" t="s">
        <v>303</v>
      </c>
      <c r="AD14" s="1073">
        <v>14</v>
      </c>
    </row>
    <row r="15" spans="1:30" ht="14.65" customHeight="1">
      <c r="J15" s="311"/>
      <c r="K15" s="311"/>
      <c r="L15" s="2782" t="s">
        <v>87</v>
      </c>
      <c r="M15" s="2724" t="s">
        <v>428</v>
      </c>
      <c r="N15" s="237"/>
      <c r="O15" s="2757" t="s">
        <v>2231</v>
      </c>
      <c r="P15" s="2758"/>
      <c r="Q15" s="2758"/>
      <c r="R15" s="2758"/>
      <c r="S15" s="2758"/>
      <c r="T15" s="2758"/>
      <c r="U15" s="2759"/>
      <c r="V15" s="2760" t="s">
        <v>430</v>
      </c>
      <c r="W15" s="2783" t="s">
        <v>1146</v>
      </c>
      <c r="X15" s="2638"/>
      <c r="AD15" s="1073">
        <v>14</v>
      </c>
    </row>
    <row r="16" spans="1:30" ht="35.65" customHeight="1">
      <c r="J16" s="311"/>
      <c r="K16" s="311"/>
      <c r="L16" s="2782"/>
      <c r="M16" s="2724"/>
      <c r="N16" s="953"/>
      <c r="O16" s="2695" t="s">
        <v>433</v>
      </c>
      <c r="P16" s="2695" t="s">
        <v>434</v>
      </c>
      <c r="Q16" s="2610" t="s">
        <v>435</v>
      </c>
      <c r="R16" s="2609"/>
      <c r="S16" s="2610" t="s">
        <v>451</v>
      </c>
      <c r="T16" s="2615"/>
      <c r="U16" s="2609"/>
      <c r="V16" s="2761"/>
      <c r="W16" s="2784"/>
      <c r="X16" s="2638"/>
      <c r="AD16" s="1073">
        <v>34</v>
      </c>
    </row>
    <row r="17" spans="1:30" ht="35.65" customHeight="1">
      <c r="A17" s="1288" t="s">
        <v>133</v>
      </c>
      <c r="B17" s="1288" t="s">
        <v>134</v>
      </c>
      <c r="C17" s="1288" t="s">
        <v>135</v>
      </c>
      <c r="D17" s="1288" t="s">
        <v>136</v>
      </c>
      <c r="E17" s="1288"/>
      <c r="J17" s="311"/>
      <c r="K17" s="311"/>
      <c r="L17" s="2782"/>
      <c r="M17" s="2724"/>
      <c r="N17" s="238"/>
      <c r="O17" s="2744"/>
      <c r="P17" s="2744"/>
      <c r="Q17" s="1140" t="s">
        <v>444</v>
      </c>
      <c r="R17" s="1140" t="s">
        <v>445</v>
      </c>
      <c r="S17" s="1210" t="s">
        <v>446</v>
      </c>
      <c r="T17" s="2733" t="s">
        <v>447</v>
      </c>
      <c r="U17" s="2735"/>
      <c r="V17" s="2762"/>
      <c r="W17" s="2785"/>
      <c r="X17" s="2638"/>
      <c r="AD17" s="1073">
        <v>34</v>
      </c>
    </row>
    <row r="18" spans="1:30" s="2544" customFormat="1" ht="11.45" customHeight="1">
      <c r="A18" s="1288"/>
      <c r="B18" s="1288"/>
      <c r="C18" s="1288"/>
      <c r="D18" s="1288"/>
      <c r="E18" s="1288"/>
      <c r="F18" s="1280"/>
      <c r="G18" s="1280"/>
      <c r="H18" s="1280"/>
      <c r="I18" s="1164"/>
      <c r="J18" s="1165"/>
      <c r="K18" s="1172">
        <v>1</v>
      </c>
      <c r="L18" s="1195" t="s">
        <v>108</v>
      </c>
      <c r="M18" s="1173" t="s">
        <v>109</v>
      </c>
      <c r="N18" s="1163" t="str">
        <f ca="1">OFFSET(N18,0,-1)</f>
        <v>2</v>
      </c>
      <c r="O18" s="1207">
        <f ca="1">OFFSET(O18,0,-1)+1</f>
        <v>3</v>
      </c>
      <c r="P18" s="1207"/>
      <c r="Q18" s="1207">
        <f ca="1">OFFSET(Q18,0,-1)+1</f>
        <v>1</v>
      </c>
      <c r="R18" s="1207">
        <f ca="1">OFFSET(R18,0,-1)+1</f>
        <v>2</v>
      </c>
      <c r="S18" s="1207">
        <f ca="1">OFFSET(S18,0,-1)+1</f>
        <v>3</v>
      </c>
      <c r="T18" s="2765">
        <f ca="1">OFFSET(T18,0,-1)+1</f>
        <v>4</v>
      </c>
      <c r="U18" s="2765"/>
      <c r="V18" s="1207">
        <f ca="1">OFFSET(V18,0,-2)+1</f>
        <v>5</v>
      </c>
      <c r="W18" s="1163">
        <f ca="1">OFFSET(W18,0,-1)</f>
        <v>5</v>
      </c>
      <c r="X18" s="1207">
        <f ca="1">OFFSET(X18,0,-1)+1</f>
        <v>6</v>
      </c>
      <c r="Y18" s="446"/>
      <c r="Z18" s="446"/>
      <c r="AA18" s="446"/>
      <c r="AB18" s="446"/>
      <c r="AC18" s="446"/>
      <c r="AD18" s="431">
        <v>11</v>
      </c>
    </row>
    <row r="19" spans="1:30" ht="21" customHeight="1">
      <c r="A19" s="1281" t="s">
        <v>172</v>
      </c>
      <c r="B19" s="1281" t="s">
        <v>173</v>
      </c>
      <c r="C19" s="1281" t="s">
        <v>174</v>
      </c>
      <c r="D19" s="1281" t="s">
        <v>175</v>
      </c>
      <c r="E19" s="1281"/>
      <c r="F19" s="1283"/>
      <c r="G19" s="1283"/>
      <c r="H19" s="1283"/>
      <c r="I19" s="296"/>
      <c r="J19" s="295"/>
      <c r="K19" s="290"/>
      <c r="L19" s="1211">
        <f>INDEX(PT_DIFFERENTIATION_NUM_NTAR,MATCH(A19,PT_DIFFERENTIATION_NTAR_ID,0))</f>
        <v>0</v>
      </c>
      <c r="M19" s="234" t="s">
        <v>122</v>
      </c>
      <c r="N19" s="236"/>
      <c r="O19" s="3041" t="str">
        <f>INDEX(PT_DIFFERENTIATION_NTAR,MATCH(A19,PT_DIFFERENTIATION_NTAR_ID,0))</f>
        <v/>
      </c>
      <c r="P19" s="3041"/>
      <c r="Q19" s="3041"/>
      <c r="R19" s="3041"/>
      <c r="S19" s="3041"/>
      <c r="T19" s="3041"/>
      <c r="U19" s="3041"/>
      <c r="V19" s="3041"/>
      <c r="W19" s="3041"/>
      <c r="X19" s="1176" t="s">
        <v>398</v>
      </c>
      <c r="Z19" s="435"/>
      <c r="AA19" s="435" t="str">
        <f t="shared" ref="AA19:AA32" si="0">IF(M19="","",M19)</f>
        <v>Наименование тарифа</v>
      </c>
      <c r="AB19" s="435"/>
      <c r="AC19" s="435"/>
      <c r="AD19" s="1073">
        <v>20</v>
      </c>
    </row>
    <row r="20" spans="1:30" ht="21" customHeight="1">
      <c r="A20" s="1281" t="s">
        <v>172</v>
      </c>
      <c r="B20" s="1281" t="s">
        <v>173</v>
      </c>
      <c r="C20" s="1281" t="s">
        <v>174</v>
      </c>
      <c r="D20" s="1281" t="s">
        <v>175</v>
      </c>
      <c r="E20" s="1281"/>
      <c r="F20" s="1283"/>
      <c r="G20" s="1283"/>
      <c r="H20" s="1283"/>
      <c r="I20" s="1208"/>
      <c r="J20" s="287"/>
      <c r="K20" s="288"/>
      <c r="L20" s="1211" t="str">
        <f>INDEX(PT_DIFFERENTIATION_NUM_TER,MATCH(B19,PT_DIFFERENTIATION_TER_ID,0))</f>
        <v>.</v>
      </c>
      <c r="M20" s="244" t="s">
        <v>399</v>
      </c>
      <c r="N20" s="236"/>
      <c r="O20" s="3041" t="str">
        <f>INDEX(PT_DIFFERENTIATION_TER,MATCH(B19,PT_DIFFERENTIATION_TER_ID,0))</f>
        <v/>
      </c>
      <c r="P20" s="3041"/>
      <c r="Q20" s="3041"/>
      <c r="R20" s="3041"/>
      <c r="S20" s="3041"/>
      <c r="T20" s="3041"/>
      <c r="U20" s="3041"/>
      <c r="V20" s="3041"/>
      <c r="W20" s="3041"/>
      <c r="X20" s="1176" t="s">
        <v>400</v>
      </c>
      <c r="Z20" s="435"/>
      <c r="AA20" s="435" t="str">
        <f t="shared" si="0"/>
        <v>Территория действия тарифа</v>
      </c>
      <c r="AB20" s="435"/>
      <c r="AC20" s="435"/>
      <c r="AD20" s="1073">
        <v>20</v>
      </c>
    </row>
    <row r="21" spans="1:30" ht="24" customHeight="1">
      <c r="A21" s="1281" t="s">
        <v>172</v>
      </c>
      <c r="B21" s="1281" t="s">
        <v>173</v>
      </c>
      <c r="C21" s="1281" t="s">
        <v>174</v>
      </c>
      <c r="D21" s="1281" t="s">
        <v>175</v>
      </c>
      <c r="E21" s="1281"/>
      <c r="F21" s="1283"/>
      <c r="G21" s="1283"/>
      <c r="H21" s="1283"/>
      <c r="I21" s="289"/>
      <c r="J21" s="287"/>
      <c r="K21" s="288"/>
      <c r="L21" s="1211" t="str">
        <f>INDEX(PT_DIFFERENTIATION_NUM_CS,MATCH(C19,PT_DIFFERENTIATION_CS_ID,0))</f>
        <v>..</v>
      </c>
      <c r="M21" s="245" t="s">
        <v>401</v>
      </c>
      <c r="N21" s="236"/>
      <c r="O21" s="3041" t="str">
        <f>INDEX(PT_DIFFERENTIATION_CS,MATCH(C19,PT_DIFFERENTIATION_CS_ID,0))</f>
        <v/>
      </c>
      <c r="P21" s="3041"/>
      <c r="Q21" s="3041"/>
      <c r="R21" s="3041"/>
      <c r="S21" s="3041"/>
      <c r="T21" s="3041"/>
      <c r="U21" s="3041"/>
      <c r="V21" s="3041"/>
      <c r="W21" s="3041"/>
      <c r="X21" s="1176" t="s">
        <v>402</v>
      </c>
      <c r="Z21" s="435"/>
      <c r="AA21" s="435" t="str">
        <f t="shared" si="0"/>
        <v xml:space="preserve">Наименование системы теплоснабжения </v>
      </c>
      <c r="AB21" s="435"/>
      <c r="AC21" s="435"/>
      <c r="AD21" s="1073">
        <v>23</v>
      </c>
    </row>
    <row r="22" spans="1:30" ht="21" customHeight="1">
      <c r="A22" s="1281" t="s">
        <v>172</v>
      </c>
      <c r="B22" s="1281" t="s">
        <v>173</v>
      </c>
      <c r="C22" s="1281" t="s">
        <v>174</v>
      </c>
      <c r="D22" s="1281" t="s">
        <v>175</v>
      </c>
      <c r="E22" s="1281"/>
      <c r="F22" s="1283"/>
      <c r="G22" s="1283"/>
      <c r="H22" s="1283"/>
      <c r="I22" s="289"/>
      <c r="J22" s="287"/>
      <c r="K22" s="288"/>
      <c r="L22" s="1211" t="str">
        <f>INDEX(PT_DIFFERENTIATION_NUM_IST_TE,MATCH(D19,PT_DIFFERENTIATION_IST_TE_ID,0))</f>
        <v>...</v>
      </c>
      <c r="M22" s="246" t="s">
        <v>403</v>
      </c>
      <c r="N22" s="236"/>
      <c r="O22" s="3041" t="str">
        <f>INDEX(PT_DIFFERENTIATION_IST_TE,MATCH(D19,PT_DIFFERENTIATION_IST_TE_ID,0))</f>
        <v/>
      </c>
      <c r="P22" s="3041"/>
      <c r="Q22" s="3041"/>
      <c r="R22" s="3041"/>
      <c r="S22" s="3041"/>
      <c r="T22" s="3041"/>
      <c r="U22" s="3041"/>
      <c r="V22" s="3041"/>
      <c r="W22" s="3041"/>
      <c r="X22" s="1176" t="s">
        <v>404</v>
      </c>
      <c r="Z22" s="435"/>
      <c r="AA22" s="435" t="str">
        <f t="shared" si="0"/>
        <v xml:space="preserve">Источник тепловой энергии  </v>
      </c>
      <c r="AB22" s="435"/>
      <c r="AC22" s="435"/>
      <c r="AD22" s="1073">
        <v>20</v>
      </c>
    </row>
    <row r="23" spans="1:30" ht="96.75" customHeight="1">
      <c r="A23" s="1281" t="s">
        <v>172</v>
      </c>
      <c r="B23" s="1281" t="s">
        <v>173</v>
      </c>
      <c r="C23" s="1281" t="s">
        <v>174</v>
      </c>
      <c r="D23" s="1281" t="s">
        <v>175</v>
      </c>
      <c r="E23" s="1281"/>
      <c r="F23" s="2732" t="str">
        <f>L22&amp;".1"</f>
        <v>....1</v>
      </c>
      <c r="I23" s="2777">
        <v>1</v>
      </c>
      <c r="J23" s="1209"/>
      <c r="K23" s="291"/>
      <c r="L23" s="1211" t="str">
        <f>$F$23</f>
        <v>....1</v>
      </c>
      <c r="M23" s="221" t="s">
        <v>406</v>
      </c>
      <c r="N23" s="236"/>
      <c r="O23" s="2803"/>
      <c r="P23" s="2803"/>
      <c r="Q23" s="2803"/>
      <c r="R23" s="2803"/>
      <c r="S23" s="2803"/>
      <c r="T23" s="2803"/>
      <c r="U23" s="2803"/>
      <c r="V23" s="2803"/>
      <c r="W23" s="2803"/>
      <c r="X23" s="1176" t="s">
        <v>407</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172</v>
      </c>
      <c r="B24" s="1281" t="s">
        <v>173</v>
      </c>
      <c r="C24" s="1281" t="s">
        <v>174</v>
      </c>
      <c r="D24" s="1281" t="s">
        <v>175</v>
      </c>
      <c r="E24" s="1281"/>
      <c r="F24" s="2732"/>
      <c r="G24" s="2732" t="str">
        <f>F23&amp;".1"</f>
        <v>....1.1</v>
      </c>
      <c r="I24" s="2777"/>
      <c r="J24" s="2777">
        <v>1</v>
      </c>
      <c r="K24" s="292"/>
      <c r="L24" s="1211" t="str">
        <f>$G$24</f>
        <v>....1.1</v>
      </c>
      <c r="M24" s="222" t="s">
        <v>409</v>
      </c>
      <c r="N24" s="236"/>
      <c r="O24" s="2769"/>
      <c r="P24" s="2770"/>
      <c r="Q24" s="2770"/>
      <c r="R24" s="2770"/>
      <c r="S24" s="2770"/>
      <c r="T24" s="2770"/>
      <c r="U24" s="2770"/>
      <c r="V24" s="2770"/>
      <c r="W24" s="2771"/>
      <c r="X24" s="1176" t="s">
        <v>410</v>
      </c>
      <c r="Z24" s="435"/>
      <c r="AA24" s="435" t="str">
        <f t="shared" si="0"/>
        <v>Группа потребителей</v>
      </c>
      <c r="AB24" s="435"/>
      <c r="AC24" s="435"/>
      <c r="AD24" s="1073">
        <v>82</v>
      </c>
    </row>
    <row r="25" spans="1:30" ht="11.45" customHeight="1">
      <c r="A25" s="1281" t="s">
        <v>172</v>
      </c>
      <c r="B25" s="1281" t="s">
        <v>173</v>
      </c>
      <c r="C25" s="1281" t="s">
        <v>174</v>
      </c>
      <c r="D25" s="1281" t="s">
        <v>175</v>
      </c>
      <c r="E25" s="1281"/>
      <c r="F25" s="2732"/>
      <c r="G25" s="2732"/>
      <c r="H25" s="2732" t="str">
        <f>G24&amp;".1"</f>
        <v>....1.1.1</v>
      </c>
      <c r="I25" s="2777"/>
      <c r="J25" s="2777"/>
      <c r="K25" s="292">
        <v>1</v>
      </c>
      <c r="L25" s="1211" t="str">
        <f>$H$25</f>
        <v>....1.1.1</v>
      </c>
      <c r="M25" s="1265"/>
      <c r="N25" s="236"/>
      <c r="O25" s="686"/>
      <c r="P25" s="261"/>
      <c r="Q25" s="686"/>
      <c r="R25" s="1175"/>
      <c r="S25" s="2753"/>
      <c r="T25" s="2619" t="s">
        <v>66</v>
      </c>
      <c r="U25" s="2753"/>
      <c r="V25" s="2619" t="s">
        <v>19</v>
      </c>
      <c r="W25" s="261"/>
      <c r="X25" s="2773" t="s">
        <v>412</v>
      </c>
      <c r="Y25" s="446" t="e">
        <f ca="1">STRCHECKDATE(O26:W26)</f>
        <v>#NAME?</v>
      </c>
      <c r="Z25" s="435"/>
      <c r="AA25" s="435" t="str">
        <f t="shared" si="0"/>
        <v/>
      </c>
      <c r="AB25" s="435"/>
      <c r="AC25" s="435"/>
      <c r="AD25" s="1073">
        <v>11</v>
      </c>
    </row>
    <row r="26" spans="1:30" ht="11.45" customHeight="1">
      <c r="A26" s="1281" t="s">
        <v>172</v>
      </c>
      <c r="B26" s="1281" t="s">
        <v>173</v>
      </c>
      <c r="C26" s="1281" t="s">
        <v>174</v>
      </c>
      <c r="D26" s="1281" t="s">
        <v>175</v>
      </c>
      <c r="E26" s="1281"/>
      <c r="F26" s="2732"/>
      <c r="G26" s="2732"/>
      <c r="H26" s="2732"/>
      <c r="I26" s="2777"/>
      <c r="J26" s="2777"/>
      <c r="K26" s="292"/>
      <c r="L26" s="1212"/>
      <c r="M26" s="236"/>
      <c r="N26" s="236"/>
      <c r="O26" s="261"/>
      <c r="P26" s="261"/>
      <c r="Q26" s="261"/>
      <c r="R26" s="264" t="str">
        <f>S25&amp;"-"&amp;U25</f>
        <v>-</v>
      </c>
      <c r="S26" s="2752"/>
      <c r="T26" s="2619"/>
      <c r="U26" s="2752"/>
      <c r="V26" s="2619"/>
      <c r="W26" s="261"/>
      <c r="X26" s="2774"/>
      <c r="Z26" s="435"/>
      <c r="AA26" s="435" t="str">
        <f t="shared" si="0"/>
        <v/>
      </c>
      <c r="AB26" s="435"/>
      <c r="AC26" s="435"/>
      <c r="AD26" s="1073">
        <v>11</v>
      </c>
    </row>
    <row r="27" spans="1:30" ht="15.75" customHeight="1">
      <c r="A27" s="1281" t="s">
        <v>172</v>
      </c>
      <c r="B27" s="1281" t="s">
        <v>173</v>
      </c>
      <c r="C27" s="1281" t="s">
        <v>174</v>
      </c>
      <c r="D27" s="1281" t="s">
        <v>175</v>
      </c>
      <c r="E27" s="1281"/>
      <c r="F27" s="2732"/>
      <c r="G27" s="2732"/>
      <c r="I27" s="2777"/>
      <c r="J27" s="2777"/>
      <c r="K27" s="291"/>
      <c r="L27" s="1196"/>
      <c r="M27" s="224" t="s">
        <v>413</v>
      </c>
      <c r="N27" s="302"/>
      <c r="O27" s="302"/>
      <c r="P27" s="302"/>
      <c r="Q27" s="302"/>
      <c r="R27" s="302"/>
      <c r="S27" s="302"/>
      <c r="T27" s="302"/>
      <c r="U27" s="302"/>
      <c r="V27" s="302"/>
      <c r="W27" s="260"/>
      <c r="X27" s="2775"/>
      <c r="Z27" s="435"/>
      <c r="AA27" s="435" t="str">
        <f t="shared" si="0"/>
        <v>Добавить вид теплоносителя (параметры теплоносителя)</v>
      </c>
      <c r="AB27" s="435"/>
      <c r="AC27" s="435"/>
      <c r="AD27" s="1073">
        <v>15</v>
      </c>
    </row>
    <row r="28" spans="1:30" ht="15.75" customHeight="1">
      <c r="A28" s="1281" t="s">
        <v>172</v>
      </c>
      <c r="B28" s="1281" t="s">
        <v>173</v>
      </c>
      <c r="C28" s="1281" t="s">
        <v>174</v>
      </c>
      <c r="D28" s="1281" t="s">
        <v>175</v>
      </c>
      <c r="E28" s="1281"/>
      <c r="F28" s="2732"/>
      <c r="I28" s="2777"/>
      <c r="J28" s="1209"/>
      <c r="K28" s="291"/>
      <c r="L28" s="1196"/>
      <c r="M28" s="223" t="s">
        <v>414</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172</v>
      </c>
      <c r="B29" s="1281" t="s">
        <v>173</v>
      </c>
      <c r="C29" s="1281" t="s">
        <v>174</v>
      </c>
      <c r="D29" s="1281" t="s">
        <v>175</v>
      </c>
      <c r="E29" s="1281"/>
      <c r="F29" s="1283"/>
      <c r="G29" s="1283"/>
      <c r="H29" s="472"/>
      <c r="I29" s="295"/>
      <c r="J29" s="310"/>
      <c r="K29" s="290"/>
      <c r="L29" s="1196"/>
      <c r="M29" s="300" t="s">
        <v>415</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172</v>
      </c>
      <c r="B30" s="1281" t="s">
        <v>173</v>
      </c>
      <c r="C30" s="1281" t="s">
        <v>174</v>
      </c>
      <c r="D30" s="1281"/>
      <c r="E30" s="1281" t="s">
        <v>588</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172</v>
      </c>
      <c r="B31" s="1281" t="s">
        <v>173</v>
      </c>
      <c r="C31" s="1281"/>
      <c r="D31" s="1281"/>
      <c r="E31" s="1281" t="s">
        <v>2232</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2233</v>
      </c>
      <c r="B32" s="1281"/>
      <c r="C32" s="1281"/>
      <c r="D32" s="1281"/>
      <c r="E32" s="1281" t="s">
        <v>103</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523" customFormat="1" ht="11.45" customHeight="1">
      <c r="A33" s="1281"/>
      <c r="B33" s="1281"/>
      <c r="C33" s="1281"/>
      <c r="D33" s="1281"/>
      <c r="E33" s="1281" t="s">
        <v>163</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805</v>
      </c>
      <c r="M35" s="2786" t="s">
        <v>2234</v>
      </c>
      <c r="N35" s="2786"/>
      <c r="O35" s="2786"/>
      <c r="P35" s="2786"/>
      <c r="Q35" s="2786"/>
      <c r="R35" s="2786"/>
      <c r="S35" s="2786"/>
      <c r="T35" s="2786"/>
      <c r="U35" s="2786"/>
      <c r="V35" s="2786"/>
      <c r="W35" s="2786"/>
      <c r="X35" s="2786"/>
      <c r="AD35" s="1073">
        <v>27</v>
      </c>
    </row>
    <row r="36" spans="1:30" ht="109.15" customHeight="1">
      <c r="H36" s="472"/>
      <c r="I36" s="1221"/>
      <c r="M36" s="2786" t="s">
        <v>2235</v>
      </c>
      <c r="N36" s="2786"/>
      <c r="O36" s="2786"/>
      <c r="P36" s="2786"/>
      <c r="Q36" s="2786"/>
      <c r="R36" s="2786"/>
      <c r="S36" s="2786"/>
      <c r="T36" s="2786"/>
      <c r="U36" s="2786"/>
      <c r="V36" s="2786"/>
      <c r="W36" s="2786"/>
      <c r="X36" s="2786"/>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81</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540" hidden="1" customWidth="1"/>
    <col min="2" max="2" width="15" style="2538" hidden="1" customWidth="1"/>
    <col min="3" max="3" width="3" style="2541" customWidth="1"/>
    <col min="4" max="4" width="6" style="2542" customWidth="1"/>
    <col min="5" max="5" width="52" style="2541" customWidth="1"/>
    <col min="6" max="6" width="48" style="2541" customWidth="1"/>
    <col min="7" max="7" width="121" style="2541" customWidth="1"/>
    <col min="8" max="8" width="8" style="2541" customWidth="1"/>
    <col min="9" max="9" width="64" style="2541" customWidth="1"/>
    <col min="10" max="10" width="9.140625" style="2541" hidden="1"/>
  </cols>
  <sheetData>
    <row r="1" spans="1:10" ht="11.25" hidden="1" customHeight="1">
      <c r="A1" s="1604" t="s">
        <v>301</v>
      </c>
      <c r="J1" s="390" t="s">
        <v>14</v>
      </c>
    </row>
    <row r="2" spans="1:10" ht="11.25" hidden="1" customHeight="1">
      <c r="J2" s="390">
        <v>0</v>
      </c>
    </row>
    <row r="3" spans="1:10" s="2537" customFormat="1" ht="11.45" customHeight="1">
      <c r="A3" s="1604"/>
      <c r="B3" s="436"/>
      <c r="D3" s="413"/>
      <c r="J3" s="412">
        <v>11</v>
      </c>
    </row>
    <row r="4" spans="1:10" ht="27.4" customHeight="1">
      <c r="D4" s="267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675"/>
      <c r="F4" s="2676"/>
      <c r="I4" s="650"/>
      <c r="J4" s="390">
        <v>26</v>
      </c>
    </row>
    <row r="5" spans="1:10" ht="18" customHeight="1">
      <c r="D5" s="2696" t="str">
        <f>IF(org=0,"Не определено",org)</f>
        <v>ООО "Ноябрьская ПГЭ"</v>
      </c>
      <c r="E5" s="2696"/>
      <c r="F5" s="2696"/>
      <c r="I5" s="650"/>
      <c r="J5" s="390">
        <v>17</v>
      </c>
    </row>
    <row r="6" spans="1:10" s="2537" customFormat="1" ht="11.45" customHeight="1">
      <c r="A6" s="1604"/>
      <c r="B6" s="436"/>
      <c r="D6" s="649"/>
      <c r="E6" s="649"/>
      <c r="F6" s="687"/>
      <c r="G6" s="649"/>
      <c r="J6" s="412">
        <v>11</v>
      </c>
    </row>
    <row r="7" spans="1:10" ht="11.25" hidden="1" customHeight="1">
      <c r="A7" s="392"/>
      <c r="B7" s="437"/>
      <c r="C7" s="392"/>
      <c r="D7" s="398"/>
      <c r="E7" s="2722"/>
      <c r="F7" s="2722"/>
      <c r="J7" s="390">
        <v>0</v>
      </c>
    </row>
    <row r="8" spans="1:10" ht="11.45" customHeight="1">
      <c r="A8" s="392"/>
      <c r="B8" s="437"/>
      <c r="C8" s="392"/>
      <c r="D8" s="2719" t="s">
        <v>302</v>
      </c>
      <c r="E8" s="2720"/>
      <c r="F8" s="2720"/>
      <c r="G8" s="2723" t="s">
        <v>303</v>
      </c>
      <c r="J8" s="390">
        <v>11</v>
      </c>
    </row>
    <row r="9" spans="1:10" ht="11.45" customHeight="1">
      <c r="A9" s="392"/>
      <c r="B9" s="437"/>
      <c r="C9" s="392"/>
      <c r="D9" s="407" t="s">
        <v>87</v>
      </c>
      <c r="E9" s="381" t="s">
        <v>304</v>
      </c>
      <c r="F9" s="381" t="s">
        <v>305</v>
      </c>
      <c r="G9" s="2724"/>
      <c r="J9" s="390">
        <v>11</v>
      </c>
    </row>
    <row r="10" spans="1:10" ht="12" hidden="1" customHeight="1">
      <c r="A10" s="392"/>
      <c r="B10" s="437"/>
      <c r="C10" s="392"/>
      <c r="D10" s="399"/>
      <c r="E10" s="399"/>
      <c r="F10" s="399"/>
      <c r="G10" s="399"/>
      <c r="J10" s="390">
        <v>0</v>
      </c>
    </row>
    <row r="11" spans="1:10" ht="22.5" hidden="1" customHeight="1">
      <c r="A11" s="392"/>
      <c r="B11" s="437"/>
      <c r="C11" s="392"/>
      <c r="D11" s="931" t="s">
        <v>108</v>
      </c>
      <c r="E11" s="934" t="s">
        <v>306</v>
      </c>
      <c r="F11" s="933" t="str">
        <f>IF(region_name="","",region_name)</f>
        <v>Ямало-Ненецкий автономный округ</v>
      </c>
      <c r="G11" s="934" t="s">
        <v>307</v>
      </c>
      <c r="H11" s="410"/>
      <c r="J11" s="390">
        <v>0</v>
      </c>
    </row>
    <row r="12" spans="1:10" ht="22.5" hidden="1" customHeight="1">
      <c r="A12" s="392"/>
      <c r="B12" s="437"/>
      <c r="C12" s="392"/>
      <c r="D12" s="380" t="s">
        <v>108</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308</v>
      </c>
      <c r="G12" s="409"/>
      <c r="H12" s="410"/>
      <c r="J12" s="390">
        <v>0</v>
      </c>
    </row>
    <row r="13" spans="1:10" ht="23.25" customHeight="1">
      <c r="A13" s="392"/>
      <c r="B13" s="437"/>
      <c r="C13" s="392"/>
      <c r="D13" s="380" t="s">
        <v>108</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309</v>
      </c>
      <c r="E14" s="932" t="s">
        <v>310</v>
      </c>
      <c r="F14" s="933" t="str">
        <f>IF(inn="","",inn)</f>
        <v>8905037499</v>
      </c>
      <c r="G14" s="934" t="s">
        <v>311</v>
      </c>
      <c r="H14" s="410"/>
      <c r="J14" s="390">
        <v>0</v>
      </c>
    </row>
    <row r="15" spans="1:10" ht="22.5" hidden="1" customHeight="1">
      <c r="A15" s="392"/>
      <c r="B15" s="437"/>
      <c r="C15" s="392"/>
      <c r="D15" s="931" t="s">
        <v>312</v>
      </c>
      <c r="E15" s="932" t="s">
        <v>313</v>
      </c>
      <c r="F15" s="933" t="str">
        <f>IF(kpp="","",kpp)</f>
        <v>890501001</v>
      </c>
      <c r="G15" s="934" t="s">
        <v>314</v>
      </c>
      <c r="H15" s="410"/>
      <c r="J15" s="390">
        <v>0</v>
      </c>
    </row>
    <row r="16" spans="1:10" ht="39" customHeight="1">
      <c r="A16" s="392"/>
      <c r="B16" s="437"/>
      <c r="C16" s="392"/>
      <c r="D16" s="380" t="s">
        <v>109</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89</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90</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717" t="s">
        <v>315</v>
      </c>
      <c r="B19" s="437"/>
      <c r="C19" s="2728"/>
      <c r="D19" s="380" t="str">
        <f>A19</f>
        <v>5.1</v>
      </c>
      <c r="E19" s="377" t="s">
        <v>316</v>
      </c>
      <c r="F19" s="378" t="s">
        <v>308</v>
      </c>
      <c r="G19" s="379" t="s">
        <v>317</v>
      </c>
      <c r="H19" s="410"/>
      <c r="I19" s="777"/>
      <c r="J19" s="390">
        <v>0</v>
      </c>
    </row>
    <row r="20" spans="1:10" ht="24" hidden="1" customHeight="1">
      <c r="A20" s="2717"/>
      <c r="B20" s="437"/>
      <c r="C20" s="2728"/>
      <c r="D20" s="375" t="str">
        <f>D19&amp;".1"</f>
        <v>5.1.1</v>
      </c>
      <c r="E20" s="374" t="s">
        <v>318</v>
      </c>
      <c r="F20" s="805" t="s">
        <v>28</v>
      </c>
      <c r="G20" s="409"/>
      <c r="H20" s="410"/>
      <c r="I20" s="777"/>
      <c r="J20" s="390">
        <v>0</v>
      </c>
    </row>
    <row r="21" spans="1:10" ht="22.5" hidden="1" customHeight="1">
      <c r="A21" s="2717"/>
      <c r="B21" s="437"/>
      <c r="C21" s="2728"/>
      <c r="D21" s="375" t="str">
        <f>D19&amp;".2"</f>
        <v>5.1.2</v>
      </c>
      <c r="E21" s="374" t="s">
        <v>319</v>
      </c>
      <c r="F21" s="1650" t="s">
        <v>28</v>
      </c>
      <c r="G21" s="379" t="s">
        <v>320</v>
      </c>
      <c r="H21" s="410"/>
      <c r="I21" s="777"/>
      <c r="J21" s="390">
        <v>0</v>
      </c>
    </row>
    <row r="22" spans="1:10" ht="22.5" hidden="1" customHeight="1">
      <c r="A22" s="2717"/>
      <c r="B22" s="437"/>
      <c r="C22" s="2728"/>
      <c r="D22" s="375" t="str">
        <f>D19&amp;".3"</f>
        <v>5.1.3</v>
      </c>
      <c r="E22" s="374" t="s">
        <v>321</v>
      </c>
      <c r="F22" s="805" t="s">
        <v>28</v>
      </c>
      <c r="G22" s="409"/>
      <c r="H22" s="410"/>
      <c r="I22" s="777"/>
      <c r="J22" s="390">
        <v>0</v>
      </c>
    </row>
    <row r="23" spans="1:10" ht="22.5" hidden="1" customHeight="1">
      <c r="A23" s="2717"/>
      <c r="B23" s="437"/>
      <c r="C23" s="2728"/>
      <c r="D23" s="375" t="str">
        <f>D19&amp;".4"</f>
        <v>5.1.4</v>
      </c>
      <c r="E23" s="374" t="s">
        <v>322</v>
      </c>
      <c r="F23" s="805" t="s">
        <v>28</v>
      </c>
      <c r="G23" s="379" t="s">
        <v>323</v>
      </c>
      <c r="H23" s="410"/>
      <c r="I23" s="777"/>
      <c r="J23" s="390">
        <v>0</v>
      </c>
    </row>
    <row r="24" spans="1:10" ht="22.5" hidden="1" customHeight="1">
      <c r="A24" s="1890"/>
      <c r="B24" s="437"/>
      <c r="C24" s="427"/>
      <c r="D24" s="402"/>
      <c r="E24" s="1086" t="s">
        <v>324</v>
      </c>
      <c r="F24" s="403"/>
      <c r="G24" s="404"/>
      <c r="H24" s="410"/>
      <c r="I24" s="777"/>
      <c r="J24" s="390">
        <v>0</v>
      </c>
    </row>
    <row r="25" spans="1:10" s="2538" customFormat="1" ht="24.75" hidden="1" customHeight="1">
      <c r="A25" s="392"/>
      <c r="B25" s="437"/>
      <c r="C25" s="437"/>
      <c r="D25" s="928" t="s">
        <v>89</v>
      </c>
      <c r="E25" s="930" t="s">
        <v>325</v>
      </c>
      <c r="F25" s="935" t="s">
        <v>308</v>
      </c>
      <c r="G25" s="930"/>
      <c r="J25" s="436">
        <v>0</v>
      </c>
    </row>
    <row r="26" spans="1:10" s="2538" customFormat="1" ht="11.25" hidden="1" customHeight="1">
      <c r="A26" s="392"/>
      <c r="B26" s="437"/>
      <c r="C26" s="437"/>
      <c r="D26" s="928" t="s">
        <v>326</v>
      </c>
      <c r="E26" s="929" t="s">
        <v>327</v>
      </c>
      <c r="F26" s="935" t="s">
        <v>308</v>
      </c>
      <c r="G26" s="930"/>
      <c r="J26" s="436">
        <v>0</v>
      </c>
    </row>
    <row r="27" spans="1:10" s="2538" customFormat="1" ht="11.25" hidden="1" customHeight="1">
      <c r="A27" s="392"/>
      <c r="B27" s="437"/>
      <c r="C27" s="437"/>
      <c r="D27" s="928" t="s">
        <v>328</v>
      </c>
      <c r="E27" s="936" t="s">
        <v>329</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538" customFormat="1" ht="11.25" hidden="1" customHeight="1">
      <c r="A28" s="392"/>
      <c r="B28" s="437"/>
      <c r="C28" s="437"/>
      <c r="D28" s="928" t="s">
        <v>330</v>
      </c>
      <c r="E28" s="936" t="s">
        <v>331</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538" customFormat="1" ht="11.25" hidden="1" customHeight="1">
      <c r="A29" s="392"/>
      <c r="B29" s="437"/>
      <c r="C29" s="437"/>
      <c r="D29" s="928" t="s">
        <v>332</v>
      </c>
      <c r="E29" s="936" t="s">
        <v>333</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538" customFormat="1" ht="11.25" hidden="1" customHeight="1">
      <c r="A30" s="392"/>
      <c r="B30" s="437"/>
      <c r="C30" s="437"/>
      <c r="D30" s="928" t="s">
        <v>334</v>
      </c>
      <c r="E30" s="929" t="s">
        <v>335</v>
      </c>
      <c r="F30" s="937"/>
      <c r="G30" s="930"/>
      <c r="J30" s="436">
        <v>0</v>
      </c>
    </row>
    <row r="31" spans="1:10" s="2538" customFormat="1" ht="11.25" hidden="1" customHeight="1">
      <c r="A31" s="392"/>
      <c r="B31" s="437"/>
      <c r="C31" s="437"/>
      <c r="D31" s="928" t="s">
        <v>336</v>
      </c>
      <c r="E31" s="929" t="s">
        <v>337</v>
      </c>
      <c r="F31" s="937"/>
      <c r="G31" s="930"/>
      <c r="J31" s="436">
        <v>0</v>
      </c>
    </row>
    <row r="32" spans="1:10" s="2538" customFormat="1" ht="11.25" hidden="1" customHeight="1">
      <c r="A32" s="392"/>
      <c r="B32" s="437"/>
      <c r="C32" s="437"/>
      <c r="D32" s="928" t="s">
        <v>338</v>
      </c>
      <c r="E32" s="929" t="s">
        <v>339</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308</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340</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340</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308</v>
      </c>
      <c r="G39" s="272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726"/>
      <c r="H40" s="410"/>
      <c r="J40" s="390">
        <v>0</v>
      </c>
    </row>
    <row r="41" spans="1:10" ht="23.25" customHeight="1">
      <c r="A41" s="392"/>
      <c r="B41" s="392"/>
      <c r="C41" s="1606"/>
      <c r="D41" s="375" t="str">
        <f>D39&amp;".1"</f>
        <v>9.1</v>
      </c>
      <c r="E41" s="785"/>
      <c r="F41" s="786"/>
      <c r="G41" s="2726"/>
      <c r="H41" s="410"/>
      <c r="J41" s="390">
        <v>22</v>
      </c>
    </row>
    <row r="42" spans="1:10" ht="15.75" customHeight="1">
      <c r="A42" s="392"/>
      <c r="B42" s="437"/>
      <c r="C42" s="392"/>
      <c r="D42" s="402"/>
      <c r="E42" s="350" t="s">
        <v>341</v>
      </c>
      <c r="F42" s="404"/>
      <c r="G42" s="2727"/>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342</v>
      </c>
      <c r="H44" s="410"/>
      <c r="J44" s="390">
        <v>22</v>
      </c>
    </row>
    <row r="45" spans="1:10" ht="23.25" customHeight="1">
      <c r="A45" s="392"/>
      <c r="B45" s="437"/>
      <c r="C45" s="392"/>
      <c r="D45" s="375">
        <f>D44+1</f>
        <v>12</v>
      </c>
      <c r="E45" s="373" t="s">
        <v>343</v>
      </c>
      <c r="F45" s="378" t="s">
        <v>308</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344</v>
      </c>
      <c r="H46" s="410"/>
      <c r="J46" s="390">
        <v>23</v>
      </c>
    </row>
    <row r="47" spans="1:10" ht="24" customHeight="1">
      <c r="A47" s="2717"/>
      <c r="B47" s="437"/>
      <c r="C47" s="427"/>
      <c r="D47" s="375" t="str">
        <f>D45&amp;".2"</f>
        <v>12.2</v>
      </c>
      <c r="E47" s="377" t="s">
        <v>345</v>
      </c>
      <c r="F47" s="425"/>
      <c r="G47" s="372" t="s">
        <v>346</v>
      </c>
      <c r="H47" s="410"/>
      <c r="J47" s="390">
        <v>23</v>
      </c>
    </row>
    <row r="48" spans="1:10" ht="24" customHeight="1">
      <c r="A48" s="2717"/>
      <c r="B48" s="437"/>
      <c r="C48" s="427"/>
      <c r="D48" s="375" t="str">
        <f>D45&amp;".3"</f>
        <v>12.3</v>
      </c>
      <c r="E48" s="377" t="s">
        <v>347</v>
      </c>
      <c r="F48" s="425"/>
      <c r="G48" s="372" t="s">
        <v>348</v>
      </c>
      <c r="H48" s="410"/>
      <c r="J48" s="390">
        <v>23</v>
      </c>
    </row>
    <row r="49" spans="1:10" ht="24" customHeight="1">
      <c r="A49" s="2717"/>
      <c r="B49" s="437"/>
      <c r="C49" s="427"/>
      <c r="D49" s="375" t="str">
        <f>IF(TEMPLATE_SPHERE="TKO",D45&amp;".0",D45&amp;".4")</f>
        <v>12.4</v>
      </c>
      <c r="E49" s="371" t="s">
        <v>349</v>
      </c>
      <c r="F49" s="1603"/>
      <c r="G49" s="1679" t="s">
        <v>350</v>
      </c>
      <c r="H49" s="410"/>
      <c r="J49" s="390">
        <v>23</v>
      </c>
    </row>
    <row r="50" spans="1:10" ht="24" customHeight="1">
      <c r="A50" s="392"/>
      <c r="B50" s="437"/>
      <c r="C50" s="392"/>
      <c r="D50" s="402"/>
      <c r="E50" s="350" t="s">
        <v>351</v>
      </c>
      <c r="F50" s="403"/>
      <c r="G50" s="1679" t="s">
        <v>352</v>
      </c>
      <c r="H50" s="411"/>
      <c r="J50" s="390">
        <v>23</v>
      </c>
    </row>
    <row r="51" spans="1:10" ht="24" customHeight="1">
      <c r="A51" s="783"/>
      <c r="B51" s="437"/>
      <c r="C51" s="427"/>
      <c r="D51" s="375">
        <f>D45+1</f>
        <v>13</v>
      </c>
      <c r="E51" s="463" t="s">
        <v>353</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539" customFormat="1" ht="31.5" customHeight="1">
      <c r="A53" s="1605"/>
      <c r="B53" s="438"/>
      <c r="C53" s="2718"/>
      <c r="D53" s="272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721"/>
      <c r="F53" s="2721"/>
      <c r="G53" s="2721"/>
      <c r="H53" s="389"/>
      <c r="I53" s="389"/>
      <c r="J53" s="395">
        <v>30</v>
      </c>
    </row>
    <row r="54" spans="1:10" s="2539" customFormat="1" ht="42" customHeight="1">
      <c r="A54" s="392"/>
      <c r="B54" s="437"/>
      <c r="C54" s="2718"/>
      <c r="D54" s="272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721"/>
      <c r="F54" s="2721"/>
      <c r="G54" s="2721"/>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81</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587" customWidth="1"/>
    <col min="2" max="2" width="8.7109375" style="2587" customWidth="1"/>
    <col min="3" max="3" width="18.140625" style="2587" customWidth="1"/>
    <col min="4" max="4" width="12.5703125" style="2587" customWidth="1"/>
  </cols>
  <sheetData>
    <row r="1" spans="1:5" ht="11.25" customHeight="1">
      <c r="A1" s="1990" t="s">
        <v>2236</v>
      </c>
      <c r="B1" s="1991" t="s">
        <v>2237</v>
      </c>
      <c r="C1" s="3042" t="s">
        <v>2238</v>
      </c>
      <c r="D1" s="3043"/>
      <c r="E1" s="765" t="s">
        <v>2239</v>
      </c>
    </row>
    <row r="2" spans="1:5" ht="11.25" customHeight="1">
      <c r="A2" s="1992"/>
      <c r="B2" s="698" t="s">
        <v>26</v>
      </c>
      <c r="C2" s="688"/>
      <c r="D2" s="697"/>
      <c r="E2" s="765"/>
    </row>
    <row r="3" spans="1:5" ht="11.25" customHeight="1">
      <c r="A3" s="1993"/>
      <c r="B3" s="1994" t="s">
        <v>33</v>
      </c>
      <c r="C3" s="688"/>
      <c r="D3" s="697"/>
      <c r="E3" s="765"/>
    </row>
    <row r="4" spans="1:5" ht="11.25" customHeight="1">
      <c r="A4" s="1995"/>
      <c r="B4" s="699" t="s">
        <v>1664</v>
      </c>
      <c r="C4" s="688"/>
      <c r="D4" s="697"/>
      <c r="E4" s="765"/>
    </row>
    <row r="5" spans="1:5" ht="11.25" customHeight="1">
      <c r="A5" s="1996"/>
      <c r="B5" s="699" t="s">
        <v>1658</v>
      </c>
      <c r="C5" s="1997" t="s">
        <v>2003</v>
      </c>
      <c r="D5" s="1998" t="s">
        <v>2240</v>
      </c>
      <c r="E5" s="765"/>
    </row>
    <row r="6" spans="1:5" s="2523" customFormat="1" ht="11.25" customHeight="1">
      <c r="A6" s="1999"/>
      <c r="B6" s="699" t="s">
        <v>1668</v>
      </c>
      <c r="C6" s="688"/>
      <c r="D6" s="697"/>
      <c r="E6" s="765"/>
    </row>
    <row r="7" spans="1:5" ht="11.25" customHeight="1">
      <c r="A7" s="2000"/>
      <c r="B7" s="699" t="s">
        <v>1675</v>
      </c>
      <c r="C7" s="688"/>
      <c r="D7" s="697"/>
      <c r="E7" s="765"/>
    </row>
    <row r="8" spans="1:5" ht="11.25" customHeight="1">
      <c r="A8" s="690"/>
      <c r="B8" s="699" t="s">
        <v>1671</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5"/>
  <sheetViews>
    <sheetView showGridLines="0" workbookViewId="0"/>
  </sheetViews>
  <sheetFormatPr defaultColWidth="9.140625" defaultRowHeight="11.25" customHeight="1"/>
  <cols>
    <col min="1" max="2" width="9.140625" style="2523"/>
    <col min="3" max="3" width="20.7109375" style="2523" customWidth="1"/>
    <col min="4" max="4" width="25.140625" style="2523" customWidth="1"/>
    <col min="5" max="9" width="9.140625" style="2523"/>
  </cols>
  <sheetData>
    <row r="1" spans="1:9" ht="11.25" customHeight="1">
      <c r="A1" s="7" t="s">
        <v>2241</v>
      </c>
      <c r="B1" s="7" t="s">
        <v>2242</v>
      </c>
      <c r="C1" s="7" t="s">
        <v>2243</v>
      </c>
      <c r="D1" s="7" t="s">
        <v>2244</v>
      </c>
      <c r="E1" s="7" t="s">
        <v>2245</v>
      </c>
      <c r="F1" s="7" t="s">
        <v>2246</v>
      </c>
      <c r="G1" s="7" t="s">
        <v>2247</v>
      </c>
      <c r="H1" s="7" t="s">
        <v>2248</v>
      </c>
      <c r="I1" s="7" t="s">
        <v>2249</v>
      </c>
    </row>
    <row r="2" spans="1:9" ht="11.25" customHeight="1">
      <c r="A2" s="2507" t="s">
        <v>2250</v>
      </c>
      <c r="B2" s="2507" t="s">
        <v>16</v>
      </c>
      <c r="C2" s="2507" t="s">
        <v>2251</v>
      </c>
      <c r="D2" s="2507" t="s">
        <v>2252</v>
      </c>
      <c r="E2" s="2507" t="s">
        <v>2253</v>
      </c>
      <c r="F2" s="2507" t="s">
        <v>2254</v>
      </c>
      <c r="G2" s="2507" t="s">
        <v>2255</v>
      </c>
      <c r="H2" s="2507" t="s">
        <v>28</v>
      </c>
      <c r="I2" s="2507" t="s">
        <v>809</v>
      </c>
    </row>
    <row r="3" spans="1:9" ht="11.25" customHeight="1">
      <c r="A3" s="2507" t="s">
        <v>2250</v>
      </c>
      <c r="B3" s="2507" t="s">
        <v>16</v>
      </c>
      <c r="C3" s="2507" t="s">
        <v>2256</v>
      </c>
      <c r="D3" s="2507" t="s">
        <v>2257</v>
      </c>
      <c r="E3" s="2507" t="s">
        <v>2258</v>
      </c>
      <c r="F3" s="2507" t="s">
        <v>51</v>
      </c>
      <c r="G3" s="2507" t="s">
        <v>2259</v>
      </c>
      <c r="H3" s="2507" t="s">
        <v>28</v>
      </c>
      <c r="I3" s="2507" t="s">
        <v>809</v>
      </c>
    </row>
    <row r="4" spans="1:9" ht="11.25" customHeight="1">
      <c r="A4" s="2507" t="s">
        <v>2250</v>
      </c>
      <c r="B4" s="2507" t="s">
        <v>16</v>
      </c>
      <c r="C4" s="2507" t="s">
        <v>2260</v>
      </c>
      <c r="D4" s="2507" t="s">
        <v>2261</v>
      </c>
      <c r="E4" s="2507" t="s">
        <v>2262</v>
      </c>
      <c r="F4" s="2507" t="s">
        <v>2254</v>
      </c>
      <c r="G4" s="2507" t="s">
        <v>2263</v>
      </c>
      <c r="H4" s="2507" t="s">
        <v>28</v>
      </c>
      <c r="I4" s="2507" t="s">
        <v>809</v>
      </c>
    </row>
    <row r="5" spans="1:9" ht="11.25" customHeight="1">
      <c r="A5" s="2507" t="s">
        <v>2250</v>
      </c>
      <c r="B5" s="2507" t="s">
        <v>16</v>
      </c>
      <c r="C5" s="2507" t="s">
        <v>2264</v>
      </c>
      <c r="D5" s="2507" t="s">
        <v>2265</v>
      </c>
      <c r="E5" s="2507" t="s">
        <v>2266</v>
      </c>
      <c r="F5" s="2507" t="s">
        <v>2267</v>
      </c>
      <c r="G5" s="2507" t="s">
        <v>28</v>
      </c>
      <c r="H5" s="2507" t="s">
        <v>28</v>
      </c>
      <c r="I5" s="2507" t="s">
        <v>809</v>
      </c>
    </row>
    <row r="6" spans="1:9" ht="11.25" customHeight="1">
      <c r="A6" s="2507" t="s">
        <v>2250</v>
      </c>
      <c r="B6" s="2507" t="s">
        <v>16</v>
      </c>
      <c r="C6" s="2507" t="s">
        <v>2268</v>
      </c>
      <c r="D6" s="2507" t="s">
        <v>2269</v>
      </c>
      <c r="E6" s="2507" t="s">
        <v>2270</v>
      </c>
      <c r="F6" s="2507" t="s">
        <v>2271</v>
      </c>
      <c r="G6" s="2507" t="s">
        <v>28</v>
      </c>
      <c r="H6" s="2507" t="s">
        <v>28</v>
      </c>
      <c r="I6" s="2507" t="s">
        <v>809</v>
      </c>
    </row>
    <row r="7" spans="1:9" ht="11.25" customHeight="1">
      <c r="A7" s="2507" t="s">
        <v>2250</v>
      </c>
      <c r="B7" s="2507" t="s">
        <v>16</v>
      </c>
      <c r="C7" s="2507" t="s">
        <v>2272</v>
      </c>
      <c r="D7" s="2507" t="s">
        <v>2273</v>
      </c>
      <c r="E7" s="2507" t="s">
        <v>2274</v>
      </c>
      <c r="F7" s="2507" t="s">
        <v>2275</v>
      </c>
      <c r="G7" s="2507" t="s">
        <v>28</v>
      </c>
      <c r="H7" s="2507" t="s">
        <v>28</v>
      </c>
      <c r="I7" s="2507" t="s">
        <v>809</v>
      </c>
    </row>
    <row r="8" spans="1:9" ht="11.25" customHeight="1">
      <c r="A8" s="2507" t="s">
        <v>2250</v>
      </c>
      <c r="B8" s="2507" t="s">
        <v>16</v>
      </c>
      <c r="C8" s="2507" t="s">
        <v>2276</v>
      </c>
      <c r="D8" s="2507" t="s">
        <v>2277</v>
      </c>
      <c r="E8" s="2507" t="s">
        <v>2274</v>
      </c>
      <c r="F8" s="2507" t="s">
        <v>2278</v>
      </c>
      <c r="G8" s="2507" t="s">
        <v>28</v>
      </c>
      <c r="H8" s="2507" t="s">
        <v>28</v>
      </c>
      <c r="I8" s="2507" t="s">
        <v>809</v>
      </c>
    </row>
    <row r="9" spans="1:9" ht="11.25" customHeight="1">
      <c r="A9" s="2507" t="s">
        <v>2250</v>
      </c>
      <c r="B9" s="2507" t="s">
        <v>16</v>
      </c>
      <c r="C9" s="2507" t="s">
        <v>2279</v>
      </c>
      <c r="D9" s="2507" t="s">
        <v>2280</v>
      </c>
      <c r="E9" s="2507" t="s">
        <v>2281</v>
      </c>
      <c r="F9" s="2507" t="s">
        <v>2282</v>
      </c>
      <c r="G9" s="2507" t="s">
        <v>28</v>
      </c>
      <c r="H9" s="2507" t="s">
        <v>28</v>
      </c>
      <c r="I9" s="2507" t="s">
        <v>809</v>
      </c>
    </row>
    <row r="10" spans="1:9" ht="11.25" customHeight="1">
      <c r="A10" s="2507" t="s">
        <v>2250</v>
      </c>
      <c r="B10" s="2507" t="s">
        <v>16</v>
      </c>
      <c r="C10" s="2507" t="s">
        <v>2283</v>
      </c>
      <c r="D10" s="2507" t="s">
        <v>2284</v>
      </c>
      <c r="E10" s="2507" t="s">
        <v>2285</v>
      </c>
      <c r="F10" s="2507" t="s">
        <v>2271</v>
      </c>
      <c r="G10" s="2507" t="s">
        <v>28</v>
      </c>
      <c r="H10" s="2507" t="s">
        <v>28</v>
      </c>
      <c r="I10" s="2507" t="s">
        <v>809</v>
      </c>
    </row>
    <row r="11" spans="1:9" ht="11.25" customHeight="1">
      <c r="A11" s="2507" t="s">
        <v>2250</v>
      </c>
      <c r="B11" s="2507" t="s">
        <v>16</v>
      </c>
      <c r="C11" s="2507" t="s">
        <v>2286</v>
      </c>
      <c r="D11" s="2507" t="s">
        <v>2287</v>
      </c>
      <c r="E11" s="2507" t="s">
        <v>2288</v>
      </c>
      <c r="F11" s="2507" t="s">
        <v>2271</v>
      </c>
      <c r="G11" s="2507" t="s">
        <v>28</v>
      </c>
      <c r="H11" s="2507" t="s">
        <v>28</v>
      </c>
      <c r="I11" s="2507" t="s">
        <v>809</v>
      </c>
    </row>
    <row r="12" spans="1:9" ht="11.25" customHeight="1">
      <c r="A12" s="2507" t="s">
        <v>2250</v>
      </c>
      <c r="B12" s="2507" t="s">
        <v>16</v>
      </c>
      <c r="C12" s="2507" t="s">
        <v>2289</v>
      </c>
      <c r="D12" s="2507" t="s">
        <v>2290</v>
      </c>
      <c r="E12" s="2507" t="s">
        <v>2291</v>
      </c>
      <c r="F12" s="2507" t="s">
        <v>2292</v>
      </c>
      <c r="G12" s="2507" t="s">
        <v>28</v>
      </c>
      <c r="H12" s="2507" t="s">
        <v>28</v>
      </c>
      <c r="I12" s="2507" t="s">
        <v>809</v>
      </c>
    </row>
    <row r="13" spans="1:9" ht="11.25" customHeight="1">
      <c r="A13" s="2507" t="s">
        <v>2250</v>
      </c>
      <c r="B13" s="2507" t="s">
        <v>16</v>
      </c>
      <c r="C13" s="2507" t="s">
        <v>2293</v>
      </c>
      <c r="D13" s="2507" t="s">
        <v>2294</v>
      </c>
      <c r="E13" s="2507" t="s">
        <v>2295</v>
      </c>
      <c r="F13" s="2507" t="s">
        <v>51</v>
      </c>
      <c r="G13" s="2507" t="s">
        <v>2296</v>
      </c>
      <c r="H13" s="2507" t="s">
        <v>28</v>
      </c>
      <c r="I13" s="2507" t="s">
        <v>809</v>
      </c>
    </row>
    <row r="14" spans="1:9" ht="11.25" customHeight="1">
      <c r="A14" s="2507" t="s">
        <v>2250</v>
      </c>
      <c r="B14" s="2507" t="s">
        <v>16</v>
      </c>
      <c r="C14" s="2507" t="s">
        <v>2297</v>
      </c>
      <c r="D14" s="2507" t="s">
        <v>2298</v>
      </c>
      <c r="E14" s="2507" t="s">
        <v>2299</v>
      </c>
      <c r="F14" s="2507" t="s">
        <v>2282</v>
      </c>
      <c r="G14" s="2507" t="s">
        <v>28</v>
      </c>
      <c r="H14" s="2507" t="s">
        <v>28</v>
      </c>
      <c r="I14" s="2507" t="s">
        <v>809</v>
      </c>
    </row>
    <row r="15" spans="1:9" ht="11.25" customHeight="1">
      <c r="A15" s="2507" t="s">
        <v>2250</v>
      </c>
      <c r="B15" s="2507" t="s">
        <v>16</v>
      </c>
      <c r="C15" s="2507" t="s">
        <v>2300</v>
      </c>
      <c r="D15" s="2507" t="s">
        <v>2301</v>
      </c>
      <c r="E15" s="2507" t="s">
        <v>2299</v>
      </c>
      <c r="F15" s="2507" t="s">
        <v>2302</v>
      </c>
      <c r="G15" s="2507" t="s">
        <v>2303</v>
      </c>
      <c r="H15" s="2507" t="s">
        <v>28</v>
      </c>
      <c r="I15" s="2507" t="s">
        <v>809</v>
      </c>
    </row>
    <row r="16" spans="1:9" ht="11.25" customHeight="1">
      <c r="A16" s="2507" t="s">
        <v>2250</v>
      </c>
      <c r="B16" s="2507" t="s">
        <v>16</v>
      </c>
      <c r="C16" s="2507" t="s">
        <v>2304</v>
      </c>
      <c r="D16" s="2507" t="s">
        <v>2305</v>
      </c>
      <c r="E16" s="2507" t="s">
        <v>2299</v>
      </c>
      <c r="F16" s="2507" t="s">
        <v>2292</v>
      </c>
      <c r="G16" s="2507" t="s">
        <v>28</v>
      </c>
      <c r="H16" s="2507" t="s">
        <v>28</v>
      </c>
      <c r="I16" s="2507" t="s">
        <v>809</v>
      </c>
    </row>
    <row r="17" spans="1:9" ht="11.25" customHeight="1">
      <c r="A17" s="2507" t="s">
        <v>2250</v>
      </c>
      <c r="B17" s="2507" t="s">
        <v>16</v>
      </c>
      <c r="C17" s="2507" t="s">
        <v>2306</v>
      </c>
      <c r="D17" s="2507" t="s">
        <v>2307</v>
      </c>
      <c r="E17" s="2507" t="s">
        <v>2299</v>
      </c>
      <c r="F17" s="2507" t="s">
        <v>2308</v>
      </c>
      <c r="G17" s="2507" t="s">
        <v>2309</v>
      </c>
      <c r="H17" s="2507" t="s">
        <v>28</v>
      </c>
      <c r="I17" s="2507" t="s">
        <v>809</v>
      </c>
    </row>
    <row r="18" spans="1:9" ht="11.25" customHeight="1">
      <c r="A18" s="2507" t="s">
        <v>2250</v>
      </c>
      <c r="B18" s="2507" t="s">
        <v>16</v>
      </c>
      <c r="C18" s="2507" t="s">
        <v>2310</v>
      </c>
      <c r="D18" s="2507" t="s">
        <v>2311</v>
      </c>
      <c r="E18" s="2507" t="s">
        <v>2299</v>
      </c>
      <c r="F18" s="2507" t="s">
        <v>2312</v>
      </c>
      <c r="G18" s="2507" t="s">
        <v>2313</v>
      </c>
      <c r="H18" s="2507" t="s">
        <v>28</v>
      </c>
      <c r="I18" s="2507" t="s">
        <v>809</v>
      </c>
    </row>
    <row r="19" spans="1:9" ht="11.25" customHeight="1">
      <c r="A19" s="2507" t="s">
        <v>2250</v>
      </c>
      <c r="B19" s="2507" t="s">
        <v>16</v>
      </c>
      <c r="C19" s="2507" t="s">
        <v>2314</v>
      </c>
      <c r="D19" s="2507" t="s">
        <v>2315</v>
      </c>
      <c r="E19" s="2507" t="s">
        <v>2299</v>
      </c>
      <c r="F19" s="2507" t="s">
        <v>2316</v>
      </c>
      <c r="G19" s="2507" t="s">
        <v>28</v>
      </c>
      <c r="H19" s="2507" t="s">
        <v>28</v>
      </c>
      <c r="I19" s="2507" t="s">
        <v>809</v>
      </c>
    </row>
    <row r="20" spans="1:9" ht="11.25" customHeight="1">
      <c r="A20" s="2507" t="s">
        <v>2250</v>
      </c>
      <c r="B20" s="2507" t="s">
        <v>16</v>
      </c>
      <c r="C20" s="2507" t="s">
        <v>2317</v>
      </c>
      <c r="D20" s="2507" t="s">
        <v>2318</v>
      </c>
      <c r="E20" s="2507" t="s">
        <v>2299</v>
      </c>
      <c r="F20" s="2507" t="s">
        <v>2319</v>
      </c>
      <c r="G20" s="2507" t="s">
        <v>28</v>
      </c>
      <c r="H20" s="2507" t="s">
        <v>28</v>
      </c>
      <c r="I20" s="2507" t="s">
        <v>809</v>
      </c>
    </row>
    <row r="21" spans="1:9" ht="11.25" customHeight="1">
      <c r="A21" s="2507" t="s">
        <v>2250</v>
      </c>
      <c r="B21" s="2507" t="s">
        <v>16</v>
      </c>
      <c r="C21" s="2507" t="s">
        <v>2320</v>
      </c>
      <c r="D21" s="2507" t="s">
        <v>2321</v>
      </c>
      <c r="E21" s="2507" t="s">
        <v>2299</v>
      </c>
      <c r="F21" s="2507" t="s">
        <v>2322</v>
      </c>
      <c r="G21" s="2507" t="s">
        <v>28</v>
      </c>
      <c r="H21" s="2507" t="s">
        <v>28</v>
      </c>
      <c r="I21" s="2507" t="s">
        <v>809</v>
      </c>
    </row>
    <row r="22" spans="1:9" ht="11.25" customHeight="1">
      <c r="A22" s="2507" t="s">
        <v>2250</v>
      </c>
      <c r="B22" s="2507" t="s">
        <v>16</v>
      </c>
      <c r="C22" s="2507" t="s">
        <v>2323</v>
      </c>
      <c r="D22" s="2507" t="s">
        <v>2324</v>
      </c>
      <c r="E22" s="2507" t="s">
        <v>2299</v>
      </c>
      <c r="F22" s="2507" t="s">
        <v>2325</v>
      </c>
      <c r="G22" s="2507" t="s">
        <v>2326</v>
      </c>
      <c r="H22" s="2507" t="s">
        <v>28</v>
      </c>
      <c r="I22" s="2507" t="s">
        <v>809</v>
      </c>
    </row>
    <row r="23" spans="1:9" ht="11.25" customHeight="1">
      <c r="A23" s="2507" t="s">
        <v>2250</v>
      </c>
      <c r="B23" s="2507" t="s">
        <v>16</v>
      </c>
      <c r="C23" s="2507" t="s">
        <v>2327</v>
      </c>
      <c r="D23" s="2507" t="s">
        <v>2328</v>
      </c>
      <c r="E23" s="2507" t="s">
        <v>2329</v>
      </c>
      <c r="F23" s="2507" t="s">
        <v>2330</v>
      </c>
      <c r="G23" s="2507" t="s">
        <v>28</v>
      </c>
      <c r="H23" s="2507" t="s">
        <v>28</v>
      </c>
      <c r="I23" s="2507" t="s">
        <v>809</v>
      </c>
    </row>
    <row r="24" spans="1:9" ht="11.25" customHeight="1">
      <c r="A24" s="2507" t="s">
        <v>2250</v>
      </c>
      <c r="B24" s="2507" t="s">
        <v>16</v>
      </c>
      <c r="C24" s="2507" t="s">
        <v>2331</v>
      </c>
      <c r="D24" s="2507" t="s">
        <v>2332</v>
      </c>
      <c r="E24" s="2507" t="s">
        <v>2333</v>
      </c>
      <c r="F24" s="2507" t="s">
        <v>2282</v>
      </c>
      <c r="G24" s="2507" t="s">
        <v>28</v>
      </c>
      <c r="H24" s="2507" t="s">
        <v>28</v>
      </c>
      <c r="I24" s="2507" t="s">
        <v>809</v>
      </c>
    </row>
    <row r="25" spans="1:9" ht="11.25" customHeight="1">
      <c r="A25" s="2507" t="s">
        <v>2250</v>
      </c>
      <c r="B25" s="2507" t="s">
        <v>16</v>
      </c>
      <c r="C25" s="2507" t="s">
        <v>2334</v>
      </c>
      <c r="D25" s="2507" t="s">
        <v>2335</v>
      </c>
      <c r="E25" s="2507" t="s">
        <v>2329</v>
      </c>
      <c r="F25" s="2507" t="s">
        <v>2336</v>
      </c>
      <c r="G25" s="2507" t="s">
        <v>28</v>
      </c>
      <c r="H25" s="2507" t="s">
        <v>28</v>
      </c>
      <c r="I25" s="2507" t="s">
        <v>809</v>
      </c>
    </row>
    <row r="26" spans="1:9" ht="11.25" customHeight="1">
      <c r="A26" s="2507" t="s">
        <v>2250</v>
      </c>
      <c r="B26" s="2507" t="s">
        <v>16</v>
      </c>
      <c r="C26" s="2507" t="s">
        <v>28</v>
      </c>
      <c r="D26" s="2507" t="s">
        <v>2337</v>
      </c>
      <c r="E26" s="2507" t="s">
        <v>2338</v>
      </c>
      <c r="F26" s="2507" t="s">
        <v>2282</v>
      </c>
      <c r="G26" s="2507" t="s">
        <v>28</v>
      </c>
      <c r="H26" s="2507" t="s">
        <v>28</v>
      </c>
      <c r="I26" s="2507" t="s">
        <v>809</v>
      </c>
    </row>
    <row r="27" spans="1:9" ht="11.25" customHeight="1">
      <c r="A27" s="2507" t="s">
        <v>2250</v>
      </c>
      <c r="B27" s="2507" t="s">
        <v>16</v>
      </c>
      <c r="C27" s="2507" t="s">
        <v>2339</v>
      </c>
      <c r="D27" s="2507" t="s">
        <v>2340</v>
      </c>
      <c r="E27" s="2507" t="s">
        <v>2341</v>
      </c>
      <c r="F27" s="2507" t="s">
        <v>2292</v>
      </c>
      <c r="G27" s="2507" t="s">
        <v>2342</v>
      </c>
      <c r="H27" s="2507" t="s">
        <v>28</v>
      </c>
      <c r="I27" s="2507" t="s">
        <v>809</v>
      </c>
    </row>
    <row r="28" spans="1:9" ht="11.25" customHeight="1">
      <c r="A28" s="2507" t="s">
        <v>2250</v>
      </c>
      <c r="B28" s="2507" t="s">
        <v>16</v>
      </c>
      <c r="C28" s="2507" t="s">
        <v>2343</v>
      </c>
      <c r="D28" s="2507" t="s">
        <v>2344</v>
      </c>
      <c r="E28" s="2507" t="s">
        <v>2345</v>
      </c>
      <c r="F28" s="2507" t="s">
        <v>2346</v>
      </c>
      <c r="G28" s="2507" t="s">
        <v>28</v>
      </c>
      <c r="H28" s="2507" t="s">
        <v>28</v>
      </c>
      <c r="I28" s="2507" t="s">
        <v>809</v>
      </c>
    </row>
    <row r="29" spans="1:9" ht="11.25" customHeight="1">
      <c r="A29" s="2507" t="s">
        <v>2250</v>
      </c>
      <c r="B29" s="2507" t="s">
        <v>16</v>
      </c>
      <c r="C29" s="2507" t="s">
        <v>2347</v>
      </c>
      <c r="D29" s="2507" t="s">
        <v>2348</v>
      </c>
      <c r="E29" s="2507" t="s">
        <v>2349</v>
      </c>
      <c r="F29" s="2507" t="s">
        <v>2350</v>
      </c>
      <c r="G29" s="2507" t="s">
        <v>28</v>
      </c>
      <c r="H29" s="2507" t="s">
        <v>28</v>
      </c>
      <c r="I29" s="2507" t="s">
        <v>809</v>
      </c>
    </row>
    <row r="30" spans="1:9" ht="11.25" customHeight="1">
      <c r="A30" s="2507" t="s">
        <v>2250</v>
      </c>
      <c r="B30" s="2507" t="s">
        <v>16</v>
      </c>
      <c r="C30" s="2507" t="s">
        <v>2351</v>
      </c>
      <c r="D30" s="2507" t="s">
        <v>2352</v>
      </c>
      <c r="E30" s="2507" t="s">
        <v>2353</v>
      </c>
      <c r="F30" s="2507" t="s">
        <v>2354</v>
      </c>
      <c r="G30" s="2507" t="s">
        <v>2355</v>
      </c>
      <c r="H30" s="2507" t="s">
        <v>28</v>
      </c>
      <c r="I30" s="2507" t="s">
        <v>809</v>
      </c>
    </row>
    <row r="31" spans="1:9" ht="11.25" customHeight="1">
      <c r="A31" s="2507" t="s">
        <v>2250</v>
      </c>
      <c r="B31" s="2507" t="s">
        <v>16</v>
      </c>
      <c r="C31" s="2507" t="s">
        <v>2356</v>
      </c>
      <c r="D31" s="2507" t="s">
        <v>2357</v>
      </c>
      <c r="E31" s="2507" t="s">
        <v>2358</v>
      </c>
      <c r="F31" s="2507" t="s">
        <v>2359</v>
      </c>
      <c r="G31" s="2507" t="s">
        <v>2360</v>
      </c>
      <c r="H31" s="2507" t="s">
        <v>28</v>
      </c>
      <c r="I31" s="2507" t="s">
        <v>809</v>
      </c>
    </row>
    <row r="32" spans="1:9" ht="11.25" customHeight="1">
      <c r="A32" s="2507" t="s">
        <v>2250</v>
      </c>
      <c r="B32" s="2507" t="s">
        <v>16</v>
      </c>
      <c r="C32" s="2507" t="s">
        <v>2361</v>
      </c>
      <c r="D32" s="2507" t="s">
        <v>2362</v>
      </c>
      <c r="E32" s="2507" t="s">
        <v>2329</v>
      </c>
      <c r="F32" s="2507" t="s">
        <v>2363</v>
      </c>
      <c r="G32" s="2507" t="s">
        <v>28</v>
      </c>
      <c r="H32" s="2507" t="s">
        <v>28</v>
      </c>
      <c r="I32" s="2507" t="s">
        <v>809</v>
      </c>
    </row>
    <row r="33" spans="1:9" ht="11.25" customHeight="1">
      <c r="A33" s="2507" t="s">
        <v>2250</v>
      </c>
      <c r="B33" s="2507" t="s">
        <v>16</v>
      </c>
      <c r="C33" s="2507" t="s">
        <v>2364</v>
      </c>
      <c r="D33" s="2507" t="s">
        <v>2365</v>
      </c>
      <c r="E33" s="2507" t="s">
        <v>2253</v>
      </c>
      <c r="F33" s="2507" t="s">
        <v>2325</v>
      </c>
      <c r="G33" s="2507" t="s">
        <v>28</v>
      </c>
      <c r="H33" s="2507" t="s">
        <v>28</v>
      </c>
      <c r="I33" s="2507" t="s">
        <v>809</v>
      </c>
    </row>
    <row r="34" spans="1:9" ht="11.25" customHeight="1">
      <c r="A34" s="2507" t="s">
        <v>2250</v>
      </c>
      <c r="B34" s="2507" t="s">
        <v>16</v>
      </c>
      <c r="C34" s="2507" t="s">
        <v>2366</v>
      </c>
      <c r="D34" s="2507" t="s">
        <v>2367</v>
      </c>
      <c r="E34" s="2507" t="s">
        <v>2368</v>
      </c>
      <c r="F34" s="2507" t="s">
        <v>2369</v>
      </c>
      <c r="G34" s="2507" t="s">
        <v>28</v>
      </c>
      <c r="H34" s="2507" t="s">
        <v>28</v>
      </c>
      <c r="I34" s="2507" t="s">
        <v>809</v>
      </c>
    </row>
    <row r="35" spans="1:9" ht="11.25" customHeight="1">
      <c r="A35" s="2507" t="s">
        <v>2250</v>
      </c>
      <c r="B35" s="2507" t="s">
        <v>16</v>
      </c>
      <c r="C35" s="2507" t="s">
        <v>2370</v>
      </c>
      <c r="D35" s="2507" t="s">
        <v>2371</v>
      </c>
      <c r="E35" s="2507" t="s">
        <v>2345</v>
      </c>
      <c r="F35" s="2507" t="s">
        <v>2359</v>
      </c>
      <c r="G35" s="2507" t="s">
        <v>28</v>
      </c>
      <c r="H35" s="2507" t="s">
        <v>28</v>
      </c>
      <c r="I35" s="2507" t="s">
        <v>809</v>
      </c>
    </row>
    <row r="36" spans="1:9" ht="11.25" customHeight="1">
      <c r="A36" s="2507" t="s">
        <v>2250</v>
      </c>
      <c r="B36" s="2507" t="s">
        <v>16</v>
      </c>
      <c r="C36" s="2507" t="s">
        <v>2372</v>
      </c>
      <c r="D36" s="2507" t="s">
        <v>2373</v>
      </c>
      <c r="E36" s="2507" t="s">
        <v>2374</v>
      </c>
      <c r="F36" s="2507" t="s">
        <v>2350</v>
      </c>
      <c r="G36" s="2507" t="s">
        <v>28</v>
      </c>
      <c r="H36" s="2507" t="s">
        <v>28</v>
      </c>
      <c r="I36" s="2507" t="s">
        <v>809</v>
      </c>
    </row>
    <row r="37" spans="1:9" ht="11.25" customHeight="1">
      <c r="A37" s="2507" t="s">
        <v>2250</v>
      </c>
      <c r="B37" s="2507" t="s">
        <v>16</v>
      </c>
      <c r="C37" s="2507" t="s">
        <v>2375</v>
      </c>
      <c r="D37" s="2507" t="s">
        <v>2376</v>
      </c>
      <c r="E37" s="2507" t="s">
        <v>2377</v>
      </c>
      <c r="F37" s="2507" t="s">
        <v>2378</v>
      </c>
      <c r="G37" s="2507" t="s">
        <v>2379</v>
      </c>
      <c r="H37" s="2507" t="s">
        <v>28</v>
      </c>
      <c r="I37" s="2507" t="s">
        <v>809</v>
      </c>
    </row>
    <row r="38" spans="1:9" ht="11.25" customHeight="1">
      <c r="A38" s="2507" t="s">
        <v>2250</v>
      </c>
      <c r="B38" s="2507" t="s">
        <v>16</v>
      </c>
      <c r="C38" s="2507" t="s">
        <v>2380</v>
      </c>
      <c r="D38" s="2507" t="s">
        <v>2381</v>
      </c>
      <c r="E38" s="2507" t="s">
        <v>2382</v>
      </c>
      <c r="F38" s="2507" t="s">
        <v>2350</v>
      </c>
      <c r="G38" s="2507" t="s">
        <v>28</v>
      </c>
      <c r="H38" s="2507" t="s">
        <v>28</v>
      </c>
      <c r="I38" s="2507" t="s">
        <v>809</v>
      </c>
    </row>
    <row r="39" spans="1:9" ht="11.25" customHeight="1">
      <c r="A39" s="2507" t="s">
        <v>2250</v>
      </c>
      <c r="B39" s="2507" t="s">
        <v>16</v>
      </c>
      <c r="C39" s="2507" t="s">
        <v>2383</v>
      </c>
      <c r="D39" s="2507" t="s">
        <v>2384</v>
      </c>
      <c r="E39" s="2507" t="s">
        <v>2385</v>
      </c>
      <c r="F39" s="2507" t="s">
        <v>2271</v>
      </c>
      <c r="G39" s="2507" t="s">
        <v>28</v>
      </c>
      <c r="H39" s="2507" t="s">
        <v>28</v>
      </c>
      <c r="I39" s="2507" t="s">
        <v>809</v>
      </c>
    </row>
    <row r="40" spans="1:9" ht="11.25" customHeight="1">
      <c r="A40" s="2507" t="s">
        <v>2250</v>
      </c>
      <c r="B40" s="2507" t="s">
        <v>16</v>
      </c>
      <c r="C40" s="2507" t="s">
        <v>2386</v>
      </c>
      <c r="D40" s="2507" t="s">
        <v>2387</v>
      </c>
      <c r="E40" s="2507" t="s">
        <v>2388</v>
      </c>
      <c r="F40" s="2507" t="s">
        <v>2389</v>
      </c>
      <c r="G40" s="2507" t="s">
        <v>28</v>
      </c>
      <c r="H40" s="2507" t="s">
        <v>28</v>
      </c>
      <c r="I40" s="2507" t="s">
        <v>809</v>
      </c>
    </row>
    <row r="41" spans="1:9" ht="11.25" customHeight="1">
      <c r="A41" s="2507" t="s">
        <v>2250</v>
      </c>
      <c r="B41" s="2507" t="s">
        <v>16</v>
      </c>
      <c r="C41" s="2507" t="s">
        <v>2390</v>
      </c>
      <c r="D41" s="2507" t="s">
        <v>2391</v>
      </c>
      <c r="E41" s="2507" t="s">
        <v>2392</v>
      </c>
      <c r="F41" s="2507" t="s">
        <v>2271</v>
      </c>
      <c r="G41" s="2507" t="s">
        <v>28</v>
      </c>
      <c r="H41" s="2507" t="s">
        <v>28</v>
      </c>
      <c r="I41" s="2507" t="s">
        <v>809</v>
      </c>
    </row>
    <row r="42" spans="1:9" ht="11.25" customHeight="1">
      <c r="A42" s="2507" t="s">
        <v>2250</v>
      </c>
      <c r="B42" s="2507" t="s">
        <v>16</v>
      </c>
      <c r="C42" s="2507" t="s">
        <v>2393</v>
      </c>
      <c r="D42" s="2507" t="s">
        <v>2394</v>
      </c>
      <c r="E42" s="2507" t="s">
        <v>2395</v>
      </c>
      <c r="F42" s="2507" t="s">
        <v>2396</v>
      </c>
      <c r="G42" s="2507" t="s">
        <v>28</v>
      </c>
      <c r="H42" s="2507" t="s">
        <v>28</v>
      </c>
      <c r="I42" s="2507" t="s">
        <v>809</v>
      </c>
    </row>
    <row r="43" spans="1:9" ht="11.25" customHeight="1">
      <c r="A43" s="2507" t="s">
        <v>2250</v>
      </c>
      <c r="B43" s="2507" t="s">
        <v>16</v>
      </c>
      <c r="C43" s="2507" t="s">
        <v>2397</v>
      </c>
      <c r="D43" s="2507" t="s">
        <v>2398</v>
      </c>
      <c r="E43" s="2507" t="s">
        <v>2329</v>
      </c>
      <c r="F43" s="2507" t="s">
        <v>2389</v>
      </c>
      <c r="G43" s="2507" t="s">
        <v>2399</v>
      </c>
      <c r="H43" s="2507" t="s">
        <v>28</v>
      </c>
      <c r="I43" s="2507" t="s">
        <v>809</v>
      </c>
    </row>
    <row r="44" spans="1:9" ht="11.25" customHeight="1">
      <c r="A44" s="2507" t="s">
        <v>2250</v>
      </c>
      <c r="B44" s="2507" t="s">
        <v>16</v>
      </c>
      <c r="C44" s="2507" t="s">
        <v>2400</v>
      </c>
      <c r="D44" s="2507" t="s">
        <v>2401</v>
      </c>
      <c r="E44" s="2507" t="s">
        <v>2402</v>
      </c>
      <c r="F44" s="2507" t="s">
        <v>51</v>
      </c>
      <c r="G44" s="2507" t="s">
        <v>2403</v>
      </c>
      <c r="H44" s="2507" t="s">
        <v>28</v>
      </c>
      <c r="I44" s="2507" t="s">
        <v>809</v>
      </c>
    </row>
    <row r="45" spans="1:9" ht="11.25" customHeight="1">
      <c r="A45" s="2507" t="s">
        <v>2250</v>
      </c>
      <c r="B45" s="2507" t="s">
        <v>16</v>
      </c>
      <c r="C45" s="2507" t="s">
        <v>2404</v>
      </c>
      <c r="D45" s="2507" t="s">
        <v>2405</v>
      </c>
      <c r="E45" s="2507" t="s">
        <v>2406</v>
      </c>
      <c r="F45" s="2507" t="s">
        <v>2407</v>
      </c>
      <c r="G45" s="2507" t="s">
        <v>28</v>
      </c>
      <c r="H45" s="2507" t="s">
        <v>28</v>
      </c>
      <c r="I45" s="2507" t="s">
        <v>809</v>
      </c>
    </row>
    <row r="46" spans="1:9" ht="11.25" customHeight="1">
      <c r="A46" s="2507" t="s">
        <v>2250</v>
      </c>
      <c r="B46" s="2507" t="s">
        <v>16</v>
      </c>
      <c r="C46" s="2507" t="s">
        <v>2408</v>
      </c>
      <c r="D46" s="2507" t="s">
        <v>2409</v>
      </c>
      <c r="E46" s="2507" t="s">
        <v>2410</v>
      </c>
      <c r="F46" s="2507" t="s">
        <v>2411</v>
      </c>
      <c r="G46" s="2507" t="s">
        <v>2412</v>
      </c>
      <c r="H46" s="2507" t="s">
        <v>28</v>
      </c>
      <c r="I46" s="2507" t="s">
        <v>809</v>
      </c>
    </row>
    <row r="47" spans="1:9" ht="11.25" customHeight="1">
      <c r="A47" s="2507" t="s">
        <v>2250</v>
      </c>
      <c r="B47" s="2507" t="s">
        <v>16</v>
      </c>
      <c r="C47" s="2507" t="s">
        <v>2413</v>
      </c>
      <c r="D47" s="2507" t="s">
        <v>2414</v>
      </c>
      <c r="E47" s="2507" t="s">
        <v>2415</v>
      </c>
      <c r="F47" s="2507" t="s">
        <v>2267</v>
      </c>
      <c r="G47" s="2507" t="s">
        <v>2303</v>
      </c>
      <c r="H47" s="2507" t="s">
        <v>28</v>
      </c>
      <c r="I47" s="2507" t="s">
        <v>809</v>
      </c>
    </row>
    <row r="48" spans="1:9" ht="11.25" customHeight="1">
      <c r="A48" s="2507" t="s">
        <v>2250</v>
      </c>
      <c r="B48" s="2507" t="s">
        <v>16</v>
      </c>
      <c r="C48" s="2507" t="s">
        <v>2416</v>
      </c>
      <c r="D48" s="2507" t="s">
        <v>2417</v>
      </c>
      <c r="E48" s="2507" t="s">
        <v>2418</v>
      </c>
      <c r="F48" s="2507" t="s">
        <v>2271</v>
      </c>
      <c r="G48" s="2507" t="s">
        <v>28</v>
      </c>
      <c r="H48" s="2507" t="s">
        <v>28</v>
      </c>
      <c r="I48" s="2507" t="s">
        <v>809</v>
      </c>
    </row>
    <row r="49" spans="1:9" ht="11.25" customHeight="1">
      <c r="A49" s="2507" t="s">
        <v>2250</v>
      </c>
      <c r="B49" s="2507" t="s">
        <v>16</v>
      </c>
      <c r="C49" s="2507" t="s">
        <v>2419</v>
      </c>
      <c r="D49" s="2507" t="s">
        <v>2420</v>
      </c>
      <c r="E49" s="2507" t="s">
        <v>2421</v>
      </c>
      <c r="F49" s="2507" t="s">
        <v>2271</v>
      </c>
      <c r="G49" s="2507" t="s">
        <v>2422</v>
      </c>
      <c r="H49" s="2507" t="s">
        <v>28</v>
      </c>
      <c r="I49" s="2507" t="s">
        <v>809</v>
      </c>
    </row>
    <row r="50" spans="1:9" ht="11.25" customHeight="1">
      <c r="A50" s="2507" t="s">
        <v>2250</v>
      </c>
      <c r="B50" s="2507" t="s">
        <v>16</v>
      </c>
      <c r="C50" s="2507" t="s">
        <v>13</v>
      </c>
      <c r="D50" s="2507" t="s">
        <v>46</v>
      </c>
      <c r="E50" s="2507" t="s">
        <v>49</v>
      </c>
      <c r="F50" s="2507" t="s">
        <v>51</v>
      </c>
      <c r="G50" s="2507" t="s">
        <v>2423</v>
      </c>
      <c r="H50" s="2507" t="s">
        <v>28</v>
      </c>
      <c r="I50" s="2507" t="s">
        <v>809</v>
      </c>
    </row>
    <row r="51" spans="1:9" ht="11.25" customHeight="1">
      <c r="A51" s="2507" t="s">
        <v>2250</v>
      </c>
      <c r="B51" s="2507" t="s">
        <v>16</v>
      </c>
      <c r="C51" s="2507" t="s">
        <v>2424</v>
      </c>
      <c r="D51" s="2507" t="s">
        <v>2425</v>
      </c>
      <c r="E51" s="2507" t="s">
        <v>2426</v>
      </c>
      <c r="F51" s="2507" t="s">
        <v>51</v>
      </c>
      <c r="G51" s="2507" t="s">
        <v>28</v>
      </c>
      <c r="H51" s="2507" t="s">
        <v>28</v>
      </c>
      <c r="I51" s="2507" t="s">
        <v>809</v>
      </c>
    </row>
    <row r="52" spans="1:9" ht="11.25" customHeight="1">
      <c r="A52" s="2507" t="s">
        <v>2250</v>
      </c>
      <c r="B52" s="2507" t="s">
        <v>16</v>
      </c>
      <c r="C52" s="2507" t="s">
        <v>2427</v>
      </c>
      <c r="D52" s="2507" t="s">
        <v>2428</v>
      </c>
      <c r="E52" s="2507" t="s">
        <v>2429</v>
      </c>
      <c r="F52" s="2507" t="s">
        <v>2282</v>
      </c>
      <c r="G52" s="2507" t="s">
        <v>2430</v>
      </c>
      <c r="H52" s="2507" t="s">
        <v>28</v>
      </c>
      <c r="I52" s="2507" t="s">
        <v>809</v>
      </c>
    </row>
    <row r="53" spans="1:9" ht="11.25" customHeight="1">
      <c r="A53" s="2507" t="s">
        <v>2250</v>
      </c>
      <c r="B53" s="2507" t="s">
        <v>16</v>
      </c>
      <c r="C53" s="2507" t="s">
        <v>2431</v>
      </c>
      <c r="D53" s="2507" t="s">
        <v>2432</v>
      </c>
      <c r="E53" s="2507" t="s">
        <v>2433</v>
      </c>
      <c r="F53" s="2507" t="s">
        <v>2389</v>
      </c>
      <c r="G53" s="2507" t="s">
        <v>28</v>
      </c>
      <c r="H53" s="2507" t="s">
        <v>28</v>
      </c>
      <c r="I53" s="2507" t="s">
        <v>809</v>
      </c>
    </row>
    <row r="54" spans="1:9" ht="11.25" customHeight="1">
      <c r="A54" s="2507" t="s">
        <v>2250</v>
      </c>
      <c r="B54" s="2507" t="s">
        <v>16</v>
      </c>
      <c r="C54" s="2507" t="s">
        <v>2434</v>
      </c>
      <c r="D54" s="2507" t="s">
        <v>2435</v>
      </c>
      <c r="E54" s="2507" t="s">
        <v>2436</v>
      </c>
      <c r="F54" s="2507" t="s">
        <v>2267</v>
      </c>
      <c r="G54" s="2507" t="s">
        <v>28</v>
      </c>
      <c r="H54" s="2507" t="s">
        <v>28</v>
      </c>
      <c r="I54" s="2507" t="s">
        <v>809</v>
      </c>
    </row>
    <row r="55" spans="1:9" ht="11.25" customHeight="1">
      <c r="A55" s="2507" t="s">
        <v>2250</v>
      </c>
      <c r="B55" s="2507" t="s">
        <v>16</v>
      </c>
      <c r="C55" s="2507" t="s">
        <v>2437</v>
      </c>
      <c r="D55" s="2507" t="s">
        <v>2438</v>
      </c>
      <c r="E55" s="2507" t="s">
        <v>2439</v>
      </c>
      <c r="F55" s="2507" t="s">
        <v>2440</v>
      </c>
      <c r="G55" s="2507" t="s">
        <v>28</v>
      </c>
      <c r="H55" s="2507" t="s">
        <v>28</v>
      </c>
      <c r="I55" s="2507" t="s">
        <v>809</v>
      </c>
    </row>
    <row r="56" spans="1:9" ht="11.25" customHeight="1">
      <c r="A56" s="2507" t="s">
        <v>2250</v>
      </c>
      <c r="B56" s="2507" t="s">
        <v>16</v>
      </c>
      <c r="C56" s="2507" t="s">
        <v>2441</v>
      </c>
      <c r="D56" s="2507" t="s">
        <v>2442</v>
      </c>
      <c r="E56" s="2507" t="s">
        <v>2443</v>
      </c>
      <c r="F56" s="2507" t="s">
        <v>2267</v>
      </c>
      <c r="G56" s="2507" t="s">
        <v>28</v>
      </c>
      <c r="H56" s="2507" t="s">
        <v>28</v>
      </c>
      <c r="I56" s="2507" t="s">
        <v>809</v>
      </c>
    </row>
    <row r="57" spans="1:9" ht="11.25" customHeight="1">
      <c r="A57" s="2507" t="s">
        <v>2250</v>
      </c>
      <c r="B57" s="2507" t="s">
        <v>16</v>
      </c>
      <c r="C57" s="2507" t="s">
        <v>2444</v>
      </c>
      <c r="D57" s="2507" t="s">
        <v>2445</v>
      </c>
      <c r="E57" s="2507" t="s">
        <v>2446</v>
      </c>
      <c r="F57" s="2507" t="s">
        <v>2271</v>
      </c>
      <c r="G57" s="2507" t="s">
        <v>28</v>
      </c>
      <c r="H57" s="2507" t="s">
        <v>28</v>
      </c>
      <c r="I57" s="2507" t="s">
        <v>809</v>
      </c>
    </row>
    <row r="58" spans="1:9" ht="11.25" customHeight="1">
      <c r="A58" s="2507" t="s">
        <v>2250</v>
      </c>
      <c r="B58" s="2507" t="s">
        <v>16</v>
      </c>
      <c r="C58" s="2507" t="s">
        <v>2447</v>
      </c>
      <c r="D58" s="2507" t="s">
        <v>2448</v>
      </c>
      <c r="E58" s="2507" t="s">
        <v>2449</v>
      </c>
      <c r="F58" s="2507" t="s">
        <v>2440</v>
      </c>
      <c r="G58" s="2507" t="s">
        <v>28</v>
      </c>
      <c r="H58" s="2507" t="s">
        <v>28</v>
      </c>
      <c r="I58" s="2507" t="s">
        <v>809</v>
      </c>
    </row>
    <row r="59" spans="1:9" ht="11.25" customHeight="1">
      <c r="A59" s="2507" t="s">
        <v>2250</v>
      </c>
      <c r="B59" s="2507" t="s">
        <v>16</v>
      </c>
      <c r="C59" s="2507" t="s">
        <v>2450</v>
      </c>
      <c r="D59" s="2507" t="s">
        <v>2451</v>
      </c>
      <c r="E59" s="2507" t="s">
        <v>2452</v>
      </c>
      <c r="F59" s="2507" t="s">
        <v>2453</v>
      </c>
      <c r="G59" s="2507" t="s">
        <v>2454</v>
      </c>
      <c r="H59" s="2507" t="s">
        <v>28</v>
      </c>
      <c r="I59" s="2507" t="s">
        <v>809</v>
      </c>
    </row>
    <row r="60" spans="1:9" ht="11.25" customHeight="1">
      <c r="A60" s="2507" t="s">
        <v>2250</v>
      </c>
      <c r="B60" s="2507" t="s">
        <v>16</v>
      </c>
      <c r="C60" s="2507" t="s">
        <v>2455</v>
      </c>
      <c r="D60" s="2507" t="s">
        <v>2456</v>
      </c>
      <c r="E60" s="2507" t="s">
        <v>2457</v>
      </c>
      <c r="F60" s="2507" t="s">
        <v>2458</v>
      </c>
      <c r="G60" s="2507" t="s">
        <v>2459</v>
      </c>
      <c r="H60" s="2507" t="s">
        <v>28</v>
      </c>
      <c r="I60" s="2507" t="s">
        <v>809</v>
      </c>
    </row>
    <row r="61" spans="1:9" ht="11.25" customHeight="1">
      <c r="A61" s="2507" t="s">
        <v>2250</v>
      </c>
      <c r="B61" s="2507" t="s">
        <v>16</v>
      </c>
      <c r="C61" s="2507" t="s">
        <v>2460</v>
      </c>
      <c r="D61" s="2507" t="s">
        <v>2461</v>
      </c>
      <c r="E61" s="2507" t="s">
        <v>2462</v>
      </c>
      <c r="F61" s="2507" t="s">
        <v>2463</v>
      </c>
      <c r="G61" s="2507" t="s">
        <v>28</v>
      </c>
      <c r="H61" s="2507" t="s">
        <v>28</v>
      </c>
      <c r="I61" s="2507" t="s">
        <v>809</v>
      </c>
    </row>
    <row r="62" spans="1:9" ht="11.25" customHeight="1">
      <c r="A62" s="2507" t="s">
        <v>2250</v>
      </c>
      <c r="B62" s="2507" t="s">
        <v>16</v>
      </c>
      <c r="C62" s="2507" t="s">
        <v>2464</v>
      </c>
      <c r="D62" s="2507" t="s">
        <v>2465</v>
      </c>
      <c r="E62" s="2507" t="s">
        <v>2395</v>
      </c>
      <c r="F62" s="2507" t="s">
        <v>2254</v>
      </c>
      <c r="G62" s="2507" t="s">
        <v>28</v>
      </c>
      <c r="H62" s="2507" t="s">
        <v>28</v>
      </c>
      <c r="I62" s="2507" t="s">
        <v>809</v>
      </c>
    </row>
    <row r="63" spans="1:9" ht="11.25" customHeight="1">
      <c r="A63" s="2507" t="s">
        <v>2250</v>
      </c>
      <c r="B63" s="2507" t="s">
        <v>16</v>
      </c>
      <c r="C63" s="2507" t="s">
        <v>2466</v>
      </c>
      <c r="D63" s="2507" t="s">
        <v>2467</v>
      </c>
      <c r="E63" s="2507" t="s">
        <v>2358</v>
      </c>
      <c r="F63" s="2507" t="s">
        <v>2468</v>
      </c>
      <c r="G63" s="2507" t="s">
        <v>2469</v>
      </c>
      <c r="H63" s="2507" t="s">
        <v>28</v>
      </c>
      <c r="I63" s="2507" t="s">
        <v>809</v>
      </c>
    </row>
    <row r="64" spans="1:9" ht="11.25" customHeight="1">
      <c r="A64" s="2507" t="s">
        <v>2250</v>
      </c>
      <c r="B64" s="2507" t="s">
        <v>16</v>
      </c>
      <c r="C64" s="2507" t="s">
        <v>2470</v>
      </c>
      <c r="D64" s="2507" t="s">
        <v>2471</v>
      </c>
      <c r="E64" s="2507" t="s">
        <v>2472</v>
      </c>
      <c r="F64" s="2507" t="s">
        <v>2463</v>
      </c>
      <c r="G64" s="2507" t="s">
        <v>28</v>
      </c>
      <c r="H64" s="2507" t="s">
        <v>28</v>
      </c>
      <c r="I64" s="2507" t="s">
        <v>809</v>
      </c>
    </row>
    <row r="65" spans="1:9" ht="11.25" customHeight="1">
      <c r="A65" s="2507" t="s">
        <v>2250</v>
      </c>
      <c r="B65" s="2507" t="s">
        <v>16</v>
      </c>
      <c r="C65" s="2507" t="s">
        <v>2473</v>
      </c>
      <c r="D65" s="2507" t="s">
        <v>2474</v>
      </c>
      <c r="E65" s="2507" t="s">
        <v>2475</v>
      </c>
      <c r="F65" s="2507" t="s">
        <v>2267</v>
      </c>
      <c r="G65" s="2507" t="s">
        <v>28</v>
      </c>
      <c r="H65" s="2507" t="s">
        <v>28</v>
      </c>
      <c r="I65" s="2507" t="s">
        <v>809</v>
      </c>
    </row>
    <row r="66" spans="1:9" ht="11.25" customHeight="1">
      <c r="A66" s="2507" t="s">
        <v>2250</v>
      </c>
      <c r="B66" s="2507" t="s">
        <v>16</v>
      </c>
      <c r="C66" s="2507" t="s">
        <v>2476</v>
      </c>
      <c r="D66" s="2507" t="s">
        <v>2477</v>
      </c>
      <c r="E66" s="2507" t="s">
        <v>2478</v>
      </c>
      <c r="F66" s="2507" t="s">
        <v>2479</v>
      </c>
      <c r="G66" s="2507" t="s">
        <v>28</v>
      </c>
      <c r="H66" s="2507" t="s">
        <v>28</v>
      </c>
      <c r="I66" s="2507" t="s">
        <v>809</v>
      </c>
    </row>
    <row r="67" spans="1:9" ht="11.25" customHeight="1">
      <c r="A67" s="2507" t="s">
        <v>2250</v>
      </c>
      <c r="B67" s="2507" t="s">
        <v>16</v>
      </c>
      <c r="C67" s="2507" t="s">
        <v>2480</v>
      </c>
      <c r="D67" s="2507" t="s">
        <v>2481</v>
      </c>
      <c r="E67" s="2507" t="s">
        <v>2478</v>
      </c>
      <c r="F67" s="2507" t="s">
        <v>2482</v>
      </c>
      <c r="G67" s="2507" t="s">
        <v>28</v>
      </c>
      <c r="H67" s="2507" t="s">
        <v>28</v>
      </c>
      <c r="I67" s="2507" t="s">
        <v>809</v>
      </c>
    </row>
    <row r="68" spans="1:9" ht="11.25" customHeight="1">
      <c r="A68" s="2507" t="s">
        <v>2250</v>
      </c>
      <c r="B68" s="2507" t="s">
        <v>16</v>
      </c>
      <c r="C68" s="2507" t="s">
        <v>2483</v>
      </c>
      <c r="D68" s="2507" t="s">
        <v>2484</v>
      </c>
      <c r="E68" s="2507" t="s">
        <v>2345</v>
      </c>
      <c r="F68" s="2507" t="s">
        <v>2485</v>
      </c>
      <c r="G68" s="2507" t="s">
        <v>28</v>
      </c>
      <c r="H68" s="2507" t="s">
        <v>28</v>
      </c>
      <c r="I68" s="2507" t="s">
        <v>809</v>
      </c>
    </row>
    <row r="69" spans="1:9" ht="11.25" customHeight="1">
      <c r="A69" s="2507" t="s">
        <v>2250</v>
      </c>
      <c r="B69" s="2507" t="s">
        <v>16</v>
      </c>
      <c r="C69" s="2507" t="s">
        <v>2486</v>
      </c>
      <c r="D69" s="2507" t="s">
        <v>2487</v>
      </c>
      <c r="E69" s="2507" t="s">
        <v>2345</v>
      </c>
      <c r="F69" s="2507" t="s">
        <v>2488</v>
      </c>
      <c r="G69" s="2507" t="s">
        <v>28</v>
      </c>
      <c r="H69" s="2507" t="s">
        <v>28</v>
      </c>
      <c r="I69" s="2507" t="s">
        <v>809</v>
      </c>
    </row>
    <row r="70" spans="1:9" ht="11.25" customHeight="1">
      <c r="A70" s="2507" t="s">
        <v>2250</v>
      </c>
      <c r="B70" s="2507" t="s">
        <v>16</v>
      </c>
      <c r="C70" s="2507" t="s">
        <v>2489</v>
      </c>
      <c r="D70" s="2507" t="s">
        <v>2490</v>
      </c>
      <c r="E70" s="2507" t="s">
        <v>2329</v>
      </c>
      <c r="F70" s="2507" t="s">
        <v>2396</v>
      </c>
      <c r="G70" s="2507" t="s">
        <v>28</v>
      </c>
      <c r="H70" s="2507" t="s">
        <v>28</v>
      </c>
      <c r="I70" s="2507" t="s">
        <v>809</v>
      </c>
    </row>
    <row r="71" spans="1:9" ht="11.25" customHeight="1">
      <c r="A71" s="2507" t="s">
        <v>2250</v>
      </c>
      <c r="B71" s="2507" t="s">
        <v>16</v>
      </c>
      <c r="C71" s="2507" t="s">
        <v>2491</v>
      </c>
      <c r="D71" s="2507" t="s">
        <v>2492</v>
      </c>
      <c r="E71" s="2507" t="s">
        <v>2493</v>
      </c>
      <c r="F71" s="2507" t="s">
        <v>2494</v>
      </c>
      <c r="G71" s="2507" t="s">
        <v>28</v>
      </c>
      <c r="H71" s="2507" t="s">
        <v>28</v>
      </c>
      <c r="I71" s="2507" t="s">
        <v>809</v>
      </c>
    </row>
    <row r="72" spans="1:9" ht="11.25" customHeight="1">
      <c r="A72" s="2507" t="s">
        <v>2250</v>
      </c>
      <c r="B72" s="2507" t="s">
        <v>16</v>
      </c>
      <c r="C72" s="2507" t="s">
        <v>2495</v>
      </c>
      <c r="D72" s="2507" t="s">
        <v>2496</v>
      </c>
      <c r="E72" s="2507" t="s">
        <v>2497</v>
      </c>
      <c r="F72" s="2507" t="s">
        <v>2498</v>
      </c>
      <c r="G72" s="2507" t="s">
        <v>28</v>
      </c>
      <c r="H72" s="2507" t="s">
        <v>28</v>
      </c>
      <c r="I72" s="2507" t="s">
        <v>809</v>
      </c>
    </row>
    <row r="73" spans="1:9" ht="11.25" customHeight="1">
      <c r="A73" s="2507" t="s">
        <v>2250</v>
      </c>
      <c r="B73" s="2507" t="s">
        <v>16</v>
      </c>
      <c r="C73" s="2507" t="s">
        <v>2499</v>
      </c>
      <c r="D73" s="2507" t="s">
        <v>2500</v>
      </c>
      <c r="E73" s="2507" t="s">
        <v>2358</v>
      </c>
      <c r="F73" s="2507" t="s">
        <v>2482</v>
      </c>
      <c r="G73" s="2507" t="s">
        <v>2469</v>
      </c>
      <c r="H73" s="2507" t="s">
        <v>28</v>
      </c>
      <c r="I73" s="2507" t="s">
        <v>809</v>
      </c>
    </row>
    <row r="74" spans="1:9" ht="11.25" customHeight="1">
      <c r="A74" s="2507" t="s">
        <v>2250</v>
      </c>
      <c r="B74" s="2507" t="s">
        <v>16</v>
      </c>
      <c r="C74" s="2507" t="s">
        <v>2501</v>
      </c>
      <c r="D74" s="2507" t="s">
        <v>2502</v>
      </c>
      <c r="E74" s="2507" t="s">
        <v>2503</v>
      </c>
      <c r="F74" s="2507" t="s">
        <v>2504</v>
      </c>
      <c r="G74" s="2507" t="s">
        <v>2505</v>
      </c>
      <c r="H74" s="2507" t="s">
        <v>28</v>
      </c>
      <c r="I74" s="2507" t="s">
        <v>809</v>
      </c>
    </row>
    <row r="75" spans="1:9" ht="11.25" customHeight="1">
      <c r="A75" s="2507" t="s">
        <v>2250</v>
      </c>
      <c r="B75" s="2507" t="s">
        <v>16</v>
      </c>
      <c r="C75" s="2507" t="s">
        <v>2506</v>
      </c>
      <c r="D75" s="2507" t="s">
        <v>2507</v>
      </c>
      <c r="E75" s="2507" t="s">
        <v>2274</v>
      </c>
      <c r="F75" s="2507" t="s">
        <v>2369</v>
      </c>
      <c r="G75" s="2507" t="s">
        <v>28</v>
      </c>
      <c r="H75" s="2507" t="s">
        <v>28</v>
      </c>
      <c r="I75" s="2507" t="s">
        <v>809</v>
      </c>
    </row>
    <row r="76" spans="1:9" ht="11.25" customHeight="1">
      <c r="A76" s="2507" t="s">
        <v>2250</v>
      </c>
      <c r="B76" s="2507" t="s">
        <v>16</v>
      </c>
      <c r="C76" s="2507" t="s">
        <v>2508</v>
      </c>
      <c r="D76" s="2507" t="s">
        <v>2509</v>
      </c>
      <c r="E76" s="2507" t="s">
        <v>2510</v>
      </c>
      <c r="F76" s="2507" t="s">
        <v>2511</v>
      </c>
      <c r="G76" s="2507" t="s">
        <v>28</v>
      </c>
      <c r="H76" s="2507" t="s">
        <v>28</v>
      </c>
      <c r="I76" s="2507" t="s">
        <v>809</v>
      </c>
    </row>
    <row r="77" spans="1:9" ht="11.25" customHeight="1">
      <c r="A77" s="2507" t="s">
        <v>2250</v>
      </c>
      <c r="B77" s="2507" t="s">
        <v>16</v>
      </c>
      <c r="C77" s="2507" t="s">
        <v>2512</v>
      </c>
      <c r="D77" s="2507" t="s">
        <v>2513</v>
      </c>
      <c r="E77" s="2507" t="s">
        <v>2345</v>
      </c>
      <c r="F77" s="2507" t="s">
        <v>2514</v>
      </c>
      <c r="G77" s="2507" t="s">
        <v>28</v>
      </c>
      <c r="H77" s="2507" t="s">
        <v>28</v>
      </c>
      <c r="I77" s="2507" t="s">
        <v>809</v>
      </c>
    </row>
    <row r="78" spans="1:9" ht="11.25" customHeight="1">
      <c r="A78" s="2507" t="s">
        <v>2250</v>
      </c>
      <c r="B78" s="2507" t="s">
        <v>16</v>
      </c>
      <c r="C78" s="2507" t="s">
        <v>2515</v>
      </c>
      <c r="D78" s="2507" t="s">
        <v>2516</v>
      </c>
      <c r="E78" s="2507" t="s">
        <v>2497</v>
      </c>
      <c r="F78" s="2507" t="s">
        <v>2517</v>
      </c>
      <c r="G78" s="2507" t="s">
        <v>28</v>
      </c>
      <c r="H78" s="2507" t="s">
        <v>28</v>
      </c>
      <c r="I78" s="2507" t="s">
        <v>809</v>
      </c>
    </row>
    <row r="79" spans="1:9" ht="11.25" customHeight="1">
      <c r="A79" s="2507" t="s">
        <v>2250</v>
      </c>
      <c r="B79" s="2507" t="s">
        <v>16</v>
      </c>
      <c r="C79" s="2507" t="s">
        <v>2256</v>
      </c>
      <c r="D79" s="2507" t="s">
        <v>2257</v>
      </c>
      <c r="E79" s="2507" t="s">
        <v>2258</v>
      </c>
      <c r="F79" s="2507" t="s">
        <v>51</v>
      </c>
      <c r="G79" s="2507" t="s">
        <v>2259</v>
      </c>
      <c r="H79" s="2507" t="s">
        <v>28</v>
      </c>
      <c r="I79" s="2507" t="s">
        <v>895</v>
      </c>
    </row>
    <row r="80" spans="1:9" ht="11.25" customHeight="1">
      <c r="A80" s="2507" t="s">
        <v>2250</v>
      </c>
      <c r="B80" s="2507" t="s">
        <v>16</v>
      </c>
      <c r="C80" s="2507" t="s">
        <v>2279</v>
      </c>
      <c r="D80" s="2507" t="s">
        <v>2280</v>
      </c>
      <c r="E80" s="2507" t="s">
        <v>2281</v>
      </c>
      <c r="F80" s="2507" t="s">
        <v>2282</v>
      </c>
      <c r="G80" s="2507" t="s">
        <v>28</v>
      </c>
      <c r="H80" s="2507" t="s">
        <v>28</v>
      </c>
      <c r="I80" s="2507" t="s">
        <v>895</v>
      </c>
    </row>
    <row r="81" spans="1:9" ht="11.25" customHeight="1">
      <c r="A81" s="2507" t="s">
        <v>2250</v>
      </c>
      <c r="B81" s="2507" t="s">
        <v>16</v>
      </c>
      <c r="C81" s="2507" t="s">
        <v>2286</v>
      </c>
      <c r="D81" s="2507" t="s">
        <v>2287</v>
      </c>
      <c r="E81" s="2507" t="s">
        <v>2288</v>
      </c>
      <c r="F81" s="2507" t="s">
        <v>2271</v>
      </c>
      <c r="G81" s="2507" t="s">
        <v>28</v>
      </c>
      <c r="H81" s="2507" t="s">
        <v>28</v>
      </c>
      <c r="I81" s="2507" t="s">
        <v>895</v>
      </c>
    </row>
    <row r="82" spans="1:9" ht="11.25" customHeight="1">
      <c r="A82" s="2507" t="s">
        <v>2250</v>
      </c>
      <c r="B82" s="2507" t="s">
        <v>16</v>
      </c>
      <c r="C82" s="2507" t="s">
        <v>2289</v>
      </c>
      <c r="D82" s="2507" t="s">
        <v>2290</v>
      </c>
      <c r="E82" s="2507" t="s">
        <v>2291</v>
      </c>
      <c r="F82" s="2507" t="s">
        <v>2292</v>
      </c>
      <c r="G82" s="2507" t="s">
        <v>28</v>
      </c>
      <c r="H82" s="2507" t="s">
        <v>28</v>
      </c>
      <c r="I82" s="2507" t="s">
        <v>895</v>
      </c>
    </row>
    <row r="83" spans="1:9" ht="11.25" customHeight="1">
      <c r="A83" s="2507" t="s">
        <v>2250</v>
      </c>
      <c r="B83" s="2507" t="s">
        <v>16</v>
      </c>
      <c r="C83" s="2507" t="s">
        <v>2293</v>
      </c>
      <c r="D83" s="2507" t="s">
        <v>2294</v>
      </c>
      <c r="E83" s="2507" t="s">
        <v>2295</v>
      </c>
      <c r="F83" s="2507" t="s">
        <v>51</v>
      </c>
      <c r="G83" s="2507" t="s">
        <v>2296</v>
      </c>
      <c r="H83" s="2507" t="s">
        <v>28</v>
      </c>
      <c r="I83" s="2507" t="s">
        <v>895</v>
      </c>
    </row>
    <row r="84" spans="1:9" ht="11.25" customHeight="1">
      <c r="A84" s="2507" t="s">
        <v>2250</v>
      </c>
      <c r="B84" s="2507" t="s">
        <v>16</v>
      </c>
      <c r="C84" s="2507" t="s">
        <v>2300</v>
      </c>
      <c r="D84" s="2507" t="s">
        <v>2301</v>
      </c>
      <c r="E84" s="2507" t="s">
        <v>2299</v>
      </c>
      <c r="F84" s="2507" t="s">
        <v>2302</v>
      </c>
      <c r="G84" s="2507" t="s">
        <v>2303</v>
      </c>
      <c r="H84" s="2507" t="s">
        <v>28</v>
      </c>
      <c r="I84" s="2507" t="s">
        <v>895</v>
      </c>
    </row>
    <row r="85" spans="1:9" ht="11.25" customHeight="1">
      <c r="A85" s="2507" t="s">
        <v>2250</v>
      </c>
      <c r="B85" s="2507" t="s">
        <v>16</v>
      </c>
      <c r="C85" s="2507" t="s">
        <v>2306</v>
      </c>
      <c r="D85" s="2507" t="s">
        <v>2307</v>
      </c>
      <c r="E85" s="2507" t="s">
        <v>2299</v>
      </c>
      <c r="F85" s="2507" t="s">
        <v>2308</v>
      </c>
      <c r="G85" s="2507" t="s">
        <v>2309</v>
      </c>
      <c r="H85" s="2507" t="s">
        <v>28</v>
      </c>
      <c r="I85" s="2507" t="s">
        <v>895</v>
      </c>
    </row>
    <row r="86" spans="1:9" ht="11.25" customHeight="1">
      <c r="A86" s="2507" t="s">
        <v>2250</v>
      </c>
      <c r="B86" s="2507" t="s">
        <v>16</v>
      </c>
      <c r="C86" s="2507" t="s">
        <v>2310</v>
      </c>
      <c r="D86" s="2507" t="s">
        <v>2311</v>
      </c>
      <c r="E86" s="2507" t="s">
        <v>2299</v>
      </c>
      <c r="F86" s="2507" t="s">
        <v>2312</v>
      </c>
      <c r="G86" s="2507" t="s">
        <v>2313</v>
      </c>
      <c r="H86" s="2507" t="s">
        <v>28</v>
      </c>
      <c r="I86" s="2507" t="s">
        <v>895</v>
      </c>
    </row>
    <row r="87" spans="1:9" ht="11.25" customHeight="1">
      <c r="A87" s="2507" t="s">
        <v>2250</v>
      </c>
      <c r="B87" s="2507" t="s">
        <v>16</v>
      </c>
      <c r="C87" s="2507" t="s">
        <v>2320</v>
      </c>
      <c r="D87" s="2507" t="s">
        <v>2321</v>
      </c>
      <c r="E87" s="2507" t="s">
        <v>2299</v>
      </c>
      <c r="F87" s="2507" t="s">
        <v>2322</v>
      </c>
      <c r="G87" s="2507" t="s">
        <v>28</v>
      </c>
      <c r="H87" s="2507" t="s">
        <v>28</v>
      </c>
      <c r="I87" s="2507" t="s">
        <v>895</v>
      </c>
    </row>
    <row r="88" spans="1:9" ht="11.25" customHeight="1">
      <c r="A88" s="2507" t="s">
        <v>2250</v>
      </c>
      <c r="B88" s="2507" t="s">
        <v>16</v>
      </c>
      <c r="C88" s="2507" t="s">
        <v>2323</v>
      </c>
      <c r="D88" s="2507" t="s">
        <v>2324</v>
      </c>
      <c r="E88" s="2507" t="s">
        <v>2299</v>
      </c>
      <c r="F88" s="2507" t="s">
        <v>2325</v>
      </c>
      <c r="G88" s="2507" t="s">
        <v>2326</v>
      </c>
      <c r="H88" s="2507" t="s">
        <v>28</v>
      </c>
      <c r="I88" s="2507" t="s">
        <v>895</v>
      </c>
    </row>
    <row r="89" spans="1:9" ht="11.25" customHeight="1">
      <c r="A89" s="2507" t="s">
        <v>2250</v>
      </c>
      <c r="B89" s="2507" t="s">
        <v>16</v>
      </c>
      <c r="C89" s="2507" t="s">
        <v>2327</v>
      </c>
      <c r="D89" s="2507" t="s">
        <v>2328</v>
      </c>
      <c r="E89" s="2507" t="s">
        <v>2329</v>
      </c>
      <c r="F89" s="2507" t="s">
        <v>2330</v>
      </c>
      <c r="G89" s="2507" t="s">
        <v>28</v>
      </c>
      <c r="H89" s="2507" t="s">
        <v>28</v>
      </c>
      <c r="I89" s="2507" t="s">
        <v>895</v>
      </c>
    </row>
    <row r="90" spans="1:9" ht="11.25" customHeight="1">
      <c r="A90" s="2507" t="s">
        <v>2250</v>
      </c>
      <c r="B90" s="2507" t="s">
        <v>16</v>
      </c>
      <c r="C90" s="2507" t="s">
        <v>28</v>
      </c>
      <c r="D90" s="2507" t="s">
        <v>2337</v>
      </c>
      <c r="E90" s="2507" t="s">
        <v>2338</v>
      </c>
      <c r="F90" s="2507" t="s">
        <v>2282</v>
      </c>
      <c r="G90" s="2507" t="s">
        <v>28</v>
      </c>
      <c r="H90" s="2507" t="s">
        <v>28</v>
      </c>
      <c r="I90" s="2507" t="s">
        <v>895</v>
      </c>
    </row>
    <row r="91" spans="1:9" ht="11.25" customHeight="1">
      <c r="A91" s="2507" t="s">
        <v>2250</v>
      </c>
      <c r="B91" s="2507" t="s">
        <v>16</v>
      </c>
      <c r="C91" s="2507" t="s">
        <v>2343</v>
      </c>
      <c r="D91" s="2507" t="s">
        <v>2344</v>
      </c>
      <c r="E91" s="2507" t="s">
        <v>2345</v>
      </c>
      <c r="F91" s="2507" t="s">
        <v>2346</v>
      </c>
      <c r="G91" s="2507" t="s">
        <v>28</v>
      </c>
      <c r="H91" s="2507" t="s">
        <v>28</v>
      </c>
      <c r="I91" s="2507" t="s">
        <v>895</v>
      </c>
    </row>
    <row r="92" spans="1:9" ht="11.25" customHeight="1">
      <c r="A92" s="2507" t="s">
        <v>2250</v>
      </c>
      <c r="B92" s="2507" t="s">
        <v>16</v>
      </c>
      <c r="C92" s="2507" t="s">
        <v>2351</v>
      </c>
      <c r="D92" s="2507" t="s">
        <v>2352</v>
      </c>
      <c r="E92" s="2507" t="s">
        <v>2353</v>
      </c>
      <c r="F92" s="2507" t="s">
        <v>2354</v>
      </c>
      <c r="G92" s="2507" t="s">
        <v>2355</v>
      </c>
      <c r="H92" s="2507" t="s">
        <v>28</v>
      </c>
      <c r="I92" s="2507" t="s">
        <v>895</v>
      </c>
    </row>
    <row r="93" spans="1:9" ht="11.25" customHeight="1">
      <c r="A93" s="2507" t="s">
        <v>2250</v>
      </c>
      <c r="B93" s="2507" t="s">
        <v>16</v>
      </c>
      <c r="C93" s="2507" t="s">
        <v>2356</v>
      </c>
      <c r="D93" s="2507" t="s">
        <v>2357</v>
      </c>
      <c r="E93" s="2507" t="s">
        <v>2358</v>
      </c>
      <c r="F93" s="2507" t="s">
        <v>2359</v>
      </c>
      <c r="G93" s="2507" t="s">
        <v>2360</v>
      </c>
      <c r="H93" s="2507" t="s">
        <v>28</v>
      </c>
      <c r="I93" s="2507" t="s">
        <v>895</v>
      </c>
    </row>
    <row r="94" spans="1:9" ht="11.25" customHeight="1">
      <c r="A94" s="2507" t="s">
        <v>2250</v>
      </c>
      <c r="B94" s="2507" t="s">
        <v>16</v>
      </c>
      <c r="C94" s="2507" t="s">
        <v>2364</v>
      </c>
      <c r="D94" s="2507" t="s">
        <v>2365</v>
      </c>
      <c r="E94" s="2507" t="s">
        <v>2253</v>
      </c>
      <c r="F94" s="2507" t="s">
        <v>2325</v>
      </c>
      <c r="G94" s="2507" t="s">
        <v>28</v>
      </c>
      <c r="H94" s="2507" t="s">
        <v>28</v>
      </c>
      <c r="I94" s="2507" t="s">
        <v>895</v>
      </c>
    </row>
    <row r="95" spans="1:9" ht="11.25" customHeight="1">
      <c r="A95" s="2507" t="s">
        <v>2250</v>
      </c>
      <c r="B95" s="2507" t="s">
        <v>16</v>
      </c>
      <c r="C95" s="2507" t="s">
        <v>2375</v>
      </c>
      <c r="D95" s="2507" t="s">
        <v>2376</v>
      </c>
      <c r="E95" s="2507" t="s">
        <v>2377</v>
      </c>
      <c r="F95" s="2507" t="s">
        <v>2378</v>
      </c>
      <c r="G95" s="2507" t="s">
        <v>2379</v>
      </c>
      <c r="H95" s="2507" t="s">
        <v>28</v>
      </c>
      <c r="I95" s="2507" t="s">
        <v>895</v>
      </c>
    </row>
    <row r="96" spans="1:9" ht="11.25" customHeight="1">
      <c r="A96" s="2507" t="s">
        <v>2250</v>
      </c>
      <c r="B96" s="2507" t="s">
        <v>16</v>
      </c>
      <c r="C96" s="2507" t="s">
        <v>2383</v>
      </c>
      <c r="D96" s="2507" t="s">
        <v>2384</v>
      </c>
      <c r="E96" s="2507" t="s">
        <v>2385</v>
      </c>
      <c r="F96" s="2507" t="s">
        <v>2271</v>
      </c>
      <c r="G96" s="2507" t="s">
        <v>28</v>
      </c>
      <c r="H96" s="2507" t="s">
        <v>28</v>
      </c>
      <c r="I96" s="2507" t="s">
        <v>895</v>
      </c>
    </row>
    <row r="97" spans="1:9" ht="11.25" customHeight="1">
      <c r="A97" s="2507" t="s">
        <v>2250</v>
      </c>
      <c r="B97" s="2507" t="s">
        <v>16</v>
      </c>
      <c r="C97" s="2507" t="s">
        <v>2413</v>
      </c>
      <c r="D97" s="2507" t="s">
        <v>2414</v>
      </c>
      <c r="E97" s="2507" t="s">
        <v>2415</v>
      </c>
      <c r="F97" s="2507" t="s">
        <v>2267</v>
      </c>
      <c r="G97" s="2507" t="s">
        <v>2303</v>
      </c>
      <c r="H97" s="2507" t="s">
        <v>28</v>
      </c>
      <c r="I97" s="2507" t="s">
        <v>895</v>
      </c>
    </row>
    <row r="98" spans="1:9" ht="11.25" customHeight="1">
      <c r="A98" s="2507" t="s">
        <v>2250</v>
      </c>
      <c r="B98" s="2507" t="s">
        <v>16</v>
      </c>
      <c r="C98" s="2507" t="s">
        <v>2424</v>
      </c>
      <c r="D98" s="2507" t="s">
        <v>2425</v>
      </c>
      <c r="E98" s="2507" t="s">
        <v>2426</v>
      </c>
      <c r="F98" s="2507" t="s">
        <v>51</v>
      </c>
      <c r="G98" s="2507" t="s">
        <v>28</v>
      </c>
      <c r="H98" s="2507" t="s">
        <v>28</v>
      </c>
      <c r="I98" s="2507" t="s">
        <v>895</v>
      </c>
    </row>
    <row r="99" spans="1:9" ht="11.25" customHeight="1">
      <c r="A99" s="2507" t="s">
        <v>2250</v>
      </c>
      <c r="B99" s="2507" t="s">
        <v>16</v>
      </c>
      <c r="C99" s="2507" t="s">
        <v>2427</v>
      </c>
      <c r="D99" s="2507" t="s">
        <v>2428</v>
      </c>
      <c r="E99" s="2507" t="s">
        <v>2429</v>
      </c>
      <c r="F99" s="2507" t="s">
        <v>2282</v>
      </c>
      <c r="G99" s="2507" t="s">
        <v>2430</v>
      </c>
      <c r="H99" s="2507" t="s">
        <v>28</v>
      </c>
      <c r="I99" s="2507" t="s">
        <v>895</v>
      </c>
    </row>
    <row r="100" spans="1:9" ht="11.25" customHeight="1">
      <c r="A100" s="2507" t="s">
        <v>2250</v>
      </c>
      <c r="B100" s="2507" t="s">
        <v>16</v>
      </c>
      <c r="C100" s="2507" t="s">
        <v>2460</v>
      </c>
      <c r="D100" s="2507" t="s">
        <v>2461</v>
      </c>
      <c r="E100" s="2507" t="s">
        <v>2462</v>
      </c>
      <c r="F100" s="2507" t="s">
        <v>2463</v>
      </c>
      <c r="G100" s="2507" t="s">
        <v>28</v>
      </c>
      <c r="H100" s="2507" t="s">
        <v>28</v>
      </c>
      <c r="I100" s="2507" t="s">
        <v>895</v>
      </c>
    </row>
    <row r="101" spans="1:9" ht="11.25" customHeight="1">
      <c r="A101" s="2507" t="s">
        <v>2250</v>
      </c>
      <c r="B101" s="2507" t="s">
        <v>16</v>
      </c>
      <c r="C101" s="2507" t="s">
        <v>2470</v>
      </c>
      <c r="D101" s="2507" t="s">
        <v>2471</v>
      </c>
      <c r="E101" s="2507" t="s">
        <v>2472</v>
      </c>
      <c r="F101" s="2507" t="s">
        <v>2463</v>
      </c>
      <c r="G101" s="2507" t="s">
        <v>28</v>
      </c>
      <c r="H101" s="2507" t="s">
        <v>28</v>
      </c>
      <c r="I101" s="2507" t="s">
        <v>895</v>
      </c>
    </row>
    <row r="102" spans="1:9" ht="11.25" customHeight="1">
      <c r="A102" s="2507" t="s">
        <v>2250</v>
      </c>
      <c r="B102" s="2507" t="s">
        <v>16</v>
      </c>
      <c r="C102" s="2507" t="s">
        <v>2473</v>
      </c>
      <c r="D102" s="2507" t="s">
        <v>2474</v>
      </c>
      <c r="E102" s="2507" t="s">
        <v>2475</v>
      </c>
      <c r="F102" s="2507" t="s">
        <v>2267</v>
      </c>
      <c r="G102" s="2507" t="s">
        <v>28</v>
      </c>
      <c r="H102" s="2507" t="s">
        <v>28</v>
      </c>
      <c r="I102" s="2507" t="s">
        <v>895</v>
      </c>
    </row>
    <row r="103" spans="1:9" ht="11.25" customHeight="1">
      <c r="A103" s="2507" t="s">
        <v>2250</v>
      </c>
      <c r="B103" s="2507" t="s">
        <v>16</v>
      </c>
      <c r="C103" s="2507" t="s">
        <v>2486</v>
      </c>
      <c r="D103" s="2507" t="s">
        <v>2487</v>
      </c>
      <c r="E103" s="2507" t="s">
        <v>2345</v>
      </c>
      <c r="F103" s="2507" t="s">
        <v>2488</v>
      </c>
      <c r="G103" s="2507" t="s">
        <v>28</v>
      </c>
      <c r="H103" s="2507" t="s">
        <v>28</v>
      </c>
      <c r="I103" s="2507" t="s">
        <v>895</v>
      </c>
    </row>
    <row r="104" spans="1:9" ht="11.25" customHeight="1">
      <c r="A104" s="2507" t="s">
        <v>2250</v>
      </c>
      <c r="B104" s="2507" t="s">
        <v>16</v>
      </c>
      <c r="C104" s="2507" t="s">
        <v>2489</v>
      </c>
      <c r="D104" s="2507" t="s">
        <v>2490</v>
      </c>
      <c r="E104" s="2507" t="s">
        <v>2329</v>
      </c>
      <c r="F104" s="2507" t="s">
        <v>2396</v>
      </c>
      <c r="G104" s="2507" t="s">
        <v>28</v>
      </c>
      <c r="H104" s="2507" t="s">
        <v>28</v>
      </c>
      <c r="I104" s="2507" t="s">
        <v>895</v>
      </c>
    </row>
    <row r="105" spans="1:9" ht="11.25" customHeight="1">
      <c r="A105" s="2507" t="s">
        <v>2250</v>
      </c>
      <c r="B105" s="2507" t="s">
        <v>16</v>
      </c>
      <c r="C105" s="2507" t="s">
        <v>2491</v>
      </c>
      <c r="D105" s="2507" t="s">
        <v>2492</v>
      </c>
      <c r="E105" s="2507" t="s">
        <v>2493</v>
      </c>
      <c r="F105" s="2507" t="s">
        <v>2494</v>
      </c>
      <c r="G105" s="2507" t="s">
        <v>28</v>
      </c>
      <c r="H105" s="2507" t="s">
        <v>28</v>
      </c>
      <c r="I105" s="2507" t="s">
        <v>895</v>
      </c>
    </row>
    <row r="106" spans="1:9" ht="11.25" customHeight="1">
      <c r="A106" s="2507" t="s">
        <v>2250</v>
      </c>
      <c r="B106" s="2507" t="s">
        <v>16</v>
      </c>
      <c r="C106" s="2507" t="s">
        <v>2512</v>
      </c>
      <c r="D106" s="2507" t="s">
        <v>2513</v>
      </c>
      <c r="E106" s="2507" t="s">
        <v>2345</v>
      </c>
      <c r="F106" s="2507" t="s">
        <v>2514</v>
      </c>
      <c r="G106" s="2507" t="s">
        <v>28</v>
      </c>
      <c r="H106" s="2507" t="s">
        <v>28</v>
      </c>
      <c r="I106" s="2507" t="s">
        <v>895</v>
      </c>
    </row>
    <row r="107" spans="1:9" ht="11.25" customHeight="1">
      <c r="A107" s="2507" t="s">
        <v>2250</v>
      </c>
      <c r="B107" s="2507" t="s">
        <v>16</v>
      </c>
      <c r="C107" s="2507" t="s">
        <v>2251</v>
      </c>
      <c r="D107" s="2507" t="s">
        <v>2252</v>
      </c>
      <c r="E107" s="2507" t="s">
        <v>2253</v>
      </c>
      <c r="F107" s="2507" t="s">
        <v>2254</v>
      </c>
      <c r="G107" s="2507" t="s">
        <v>2255</v>
      </c>
      <c r="H107" s="2507" t="s">
        <v>28</v>
      </c>
      <c r="I107" s="2507" t="s">
        <v>855</v>
      </c>
    </row>
    <row r="108" spans="1:9" ht="11.25" customHeight="1">
      <c r="A108" s="2507" t="s">
        <v>2250</v>
      </c>
      <c r="B108" s="2507" t="s">
        <v>16</v>
      </c>
      <c r="C108" s="2507" t="s">
        <v>2256</v>
      </c>
      <c r="D108" s="2507" t="s">
        <v>2257</v>
      </c>
      <c r="E108" s="2507" t="s">
        <v>2258</v>
      </c>
      <c r="F108" s="2507" t="s">
        <v>51</v>
      </c>
      <c r="G108" s="2507" t="s">
        <v>2259</v>
      </c>
      <c r="H108" s="2507" t="s">
        <v>28</v>
      </c>
      <c r="I108" s="2507" t="s">
        <v>855</v>
      </c>
    </row>
    <row r="109" spans="1:9" ht="11.25" customHeight="1">
      <c r="A109" s="2507" t="s">
        <v>2250</v>
      </c>
      <c r="B109" s="2507" t="s">
        <v>16</v>
      </c>
      <c r="C109" s="2507" t="s">
        <v>2264</v>
      </c>
      <c r="D109" s="2507" t="s">
        <v>2265</v>
      </c>
      <c r="E109" s="2507" t="s">
        <v>2266</v>
      </c>
      <c r="F109" s="2507" t="s">
        <v>2267</v>
      </c>
      <c r="G109" s="2507" t="s">
        <v>28</v>
      </c>
      <c r="H109" s="2507" t="s">
        <v>28</v>
      </c>
      <c r="I109" s="2507" t="s">
        <v>855</v>
      </c>
    </row>
    <row r="110" spans="1:9" ht="11.25" customHeight="1">
      <c r="A110" s="2507" t="s">
        <v>2250</v>
      </c>
      <c r="B110" s="2507" t="s">
        <v>16</v>
      </c>
      <c r="C110" s="2507" t="s">
        <v>2268</v>
      </c>
      <c r="D110" s="2507" t="s">
        <v>2269</v>
      </c>
      <c r="E110" s="2507" t="s">
        <v>2270</v>
      </c>
      <c r="F110" s="2507" t="s">
        <v>2271</v>
      </c>
      <c r="G110" s="2507" t="s">
        <v>28</v>
      </c>
      <c r="H110" s="2507" t="s">
        <v>28</v>
      </c>
      <c r="I110" s="2507" t="s">
        <v>855</v>
      </c>
    </row>
    <row r="111" spans="1:9" ht="11.25" customHeight="1">
      <c r="A111" s="2507" t="s">
        <v>2250</v>
      </c>
      <c r="B111" s="2507" t="s">
        <v>16</v>
      </c>
      <c r="C111" s="2507" t="s">
        <v>2279</v>
      </c>
      <c r="D111" s="2507" t="s">
        <v>2280</v>
      </c>
      <c r="E111" s="2507" t="s">
        <v>2281</v>
      </c>
      <c r="F111" s="2507" t="s">
        <v>2282</v>
      </c>
      <c r="G111" s="2507" t="s">
        <v>28</v>
      </c>
      <c r="H111" s="2507" t="s">
        <v>28</v>
      </c>
      <c r="I111" s="2507" t="s">
        <v>855</v>
      </c>
    </row>
    <row r="112" spans="1:9" ht="11.25" customHeight="1">
      <c r="A112" s="2507" t="s">
        <v>2250</v>
      </c>
      <c r="B112" s="2507" t="s">
        <v>16</v>
      </c>
      <c r="C112" s="2507" t="s">
        <v>2283</v>
      </c>
      <c r="D112" s="2507" t="s">
        <v>2284</v>
      </c>
      <c r="E112" s="2507" t="s">
        <v>2285</v>
      </c>
      <c r="F112" s="2507" t="s">
        <v>2271</v>
      </c>
      <c r="G112" s="2507" t="s">
        <v>28</v>
      </c>
      <c r="H112" s="2507" t="s">
        <v>28</v>
      </c>
      <c r="I112" s="2507" t="s">
        <v>855</v>
      </c>
    </row>
    <row r="113" spans="1:9" ht="11.25" customHeight="1">
      <c r="A113" s="2507" t="s">
        <v>2250</v>
      </c>
      <c r="B113" s="2507" t="s">
        <v>16</v>
      </c>
      <c r="C113" s="2507" t="s">
        <v>2518</v>
      </c>
      <c r="D113" s="2507" t="s">
        <v>2519</v>
      </c>
      <c r="E113" s="2507" t="s">
        <v>2520</v>
      </c>
      <c r="F113" s="2507" t="s">
        <v>2271</v>
      </c>
      <c r="G113" s="2507" t="s">
        <v>28</v>
      </c>
      <c r="H113" s="2507" t="s">
        <v>28</v>
      </c>
      <c r="I113" s="2507" t="s">
        <v>855</v>
      </c>
    </row>
    <row r="114" spans="1:9" ht="11.25" customHeight="1">
      <c r="A114" s="2507" t="s">
        <v>2250</v>
      </c>
      <c r="B114" s="2507" t="s">
        <v>16</v>
      </c>
      <c r="C114" s="2507" t="s">
        <v>2286</v>
      </c>
      <c r="D114" s="2507" t="s">
        <v>2287</v>
      </c>
      <c r="E114" s="2507" t="s">
        <v>2288</v>
      </c>
      <c r="F114" s="2507" t="s">
        <v>2271</v>
      </c>
      <c r="G114" s="2507" t="s">
        <v>28</v>
      </c>
      <c r="H114" s="2507" t="s">
        <v>28</v>
      </c>
      <c r="I114" s="2507" t="s">
        <v>855</v>
      </c>
    </row>
    <row r="115" spans="1:9" ht="11.25" customHeight="1">
      <c r="A115" s="2507" t="s">
        <v>2250</v>
      </c>
      <c r="B115" s="2507" t="s">
        <v>16</v>
      </c>
      <c r="C115" s="2507" t="s">
        <v>2289</v>
      </c>
      <c r="D115" s="2507" t="s">
        <v>2290</v>
      </c>
      <c r="E115" s="2507" t="s">
        <v>2291</v>
      </c>
      <c r="F115" s="2507" t="s">
        <v>2292</v>
      </c>
      <c r="G115" s="2507" t="s">
        <v>28</v>
      </c>
      <c r="H115" s="2507" t="s">
        <v>28</v>
      </c>
      <c r="I115" s="2507" t="s">
        <v>855</v>
      </c>
    </row>
    <row r="116" spans="1:9" ht="11.25" customHeight="1">
      <c r="A116" s="2507" t="s">
        <v>2250</v>
      </c>
      <c r="B116" s="2507" t="s">
        <v>16</v>
      </c>
      <c r="C116" s="2507" t="s">
        <v>2293</v>
      </c>
      <c r="D116" s="2507" t="s">
        <v>2294</v>
      </c>
      <c r="E116" s="2507" t="s">
        <v>2295</v>
      </c>
      <c r="F116" s="2507" t="s">
        <v>51</v>
      </c>
      <c r="G116" s="2507" t="s">
        <v>2296</v>
      </c>
      <c r="H116" s="2507" t="s">
        <v>28</v>
      </c>
      <c r="I116" s="2507" t="s">
        <v>855</v>
      </c>
    </row>
    <row r="117" spans="1:9" ht="11.25" customHeight="1">
      <c r="A117" s="2507" t="s">
        <v>2250</v>
      </c>
      <c r="B117" s="2507" t="s">
        <v>16</v>
      </c>
      <c r="C117" s="2507" t="s">
        <v>2300</v>
      </c>
      <c r="D117" s="2507" t="s">
        <v>2301</v>
      </c>
      <c r="E117" s="2507" t="s">
        <v>2299</v>
      </c>
      <c r="F117" s="2507" t="s">
        <v>2302</v>
      </c>
      <c r="G117" s="2507" t="s">
        <v>2303</v>
      </c>
      <c r="H117" s="2507" t="s">
        <v>28</v>
      </c>
      <c r="I117" s="2507" t="s">
        <v>855</v>
      </c>
    </row>
    <row r="118" spans="1:9" ht="11.25" customHeight="1">
      <c r="A118" s="2507" t="s">
        <v>2250</v>
      </c>
      <c r="B118" s="2507" t="s">
        <v>16</v>
      </c>
      <c r="C118" s="2507" t="s">
        <v>2304</v>
      </c>
      <c r="D118" s="2507" t="s">
        <v>2305</v>
      </c>
      <c r="E118" s="2507" t="s">
        <v>2299</v>
      </c>
      <c r="F118" s="2507" t="s">
        <v>2292</v>
      </c>
      <c r="G118" s="2507" t="s">
        <v>28</v>
      </c>
      <c r="H118" s="2507" t="s">
        <v>28</v>
      </c>
      <c r="I118" s="2507" t="s">
        <v>855</v>
      </c>
    </row>
    <row r="119" spans="1:9" ht="11.25" customHeight="1">
      <c r="A119" s="2507" t="s">
        <v>2250</v>
      </c>
      <c r="B119" s="2507" t="s">
        <v>16</v>
      </c>
      <c r="C119" s="2507" t="s">
        <v>2306</v>
      </c>
      <c r="D119" s="2507" t="s">
        <v>2307</v>
      </c>
      <c r="E119" s="2507" t="s">
        <v>2299</v>
      </c>
      <c r="F119" s="2507" t="s">
        <v>2308</v>
      </c>
      <c r="G119" s="2507" t="s">
        <v>2309</v>
      </c>
      <c r="H119" s="2507" t="s">
        <v>28</v>
      </c>
      <c r="I119" s="2507" t="s">
        <v>855</v>
      </c>
    </row>
    <row r="120" spans="1:9" ht="11.25" customHeight="1">
      <c r="A120" s="2507" t="s">
        <v>2250</v>
      </c>
      <c r="B120" s="2507" t="s">
        <v>16</v>
      </c>
      <c r="C120" s="2507" t="s">
        <v>2310</v>
      </c>
      <c r="D120" s="2507" t="s">
        <v>2311</v>
      </c>
      <c r="E120" s="2507" t="s">
        <v>2299</v>
      </c>
      <c r="F120" s="2507" t="s">
        <v>2312</v>
      </c>
      <c r="G120" s="2507" t="s">
        <v>2313</v>
      </c>
      <c r="H120" s="2507" t="s">
        <v>28</v>
      </c>
      <c r="I120" s="2507" t="s">
        <v>855</v>
      </c>
    </row>
    <row r="121" spans="1:9" ht="11.25" customHeight="1">
      <c r="A121" s="2507" t="s">
        <v>2250</v>
      </c>
      <c r="B121" s="2507" t="s">
        <v>16</v>
      </c>
      <c r="C121" s="2507" t="s">
        <v>2314</v>
      </c>
      <c r="D121" s="2507" t="s">
        <v>2315</v>
      </c>
      <c r="E121" s="2507" t="s">
        <v>2299</v>
      </c>
      <c r="F121" s="2507" t="s">
        <v>2316</v>
      </c>
      <c r="G121" s="2507" t="s">
        <v>28</v>
      </c>
      <c r="H121" s="2507" t="s">
        <v>28</v>
      </c>
      <c r="I121" s="2507" t="s">
        <v>855</v>
      </c>
    </row>
    <row r="122" spans="1:9" ht="11.25" customHeight="1">
      <c r="A122" s="2507" t="s">
        <v>2250</v>
      </c>
      <c r="B122" s="2507" t="s">
        <v>16</v>
      </c>
      <c r="C122" s="2507" t="s">
        <v>2317</v>
      </c>
      <c r="D122" s="2507" t="s">
        <v>2318</v>
      </c>
      <c r="E122" s="2507" t="s">
        <v>2299</v>
      </c>
      <c r="F122" s="2507" t="s">
        <v>2319</v>
      </c>
      <c r="G122" s="2507" t="s">
        <v>28</v>
      </c>
      <c r="H122" s="2507" t="s">
        <v>28</v>
      </c>
      <c r="I122" s="2507" t="s">
        <v>855</v>
      </c>
    </row>
    <row r="123" spans="1:9" ht="11.25" customHeight="1">
      <c r="A123" s="2507" t="s">
        <v>2250</v>
      </c>
      <c r="B123" s="2507" t="s">
        <v>16</v>
      </c>
      <c r="C123" s="2507" t="s">
        <v>2320</v>
      </c>
      <c r="D123" s="2507" t="s">
        <v>2321</v>
      </c>
      <c r="E123" s="2507" t="s">
        <v>2299</v>
      </c>
      <c r="F123" s="2507" t="s">
        <v>2322</v>
      </c>
      <c r="G123" s="2507" t="s">
        <v>28</v>
      </c>
      <c r="H123" s="2507" t="s">
        <v>28</v>
      </c>
      <c r="I123" s="2507" t="s">
        <v>855</v>
      </c>
    </row>
    <row r="124" spans="1:9" ht="11.25" customHeight="1">
      <c r="A124" s="2507" t="s">
        <v>2250</v>
      </c>
      <c r="B124" s="2507" t="s">
        <v>16</v>
      </c>
      <c r="C124" s="2507" t="s">
        <v>2323</v>
      </c>
      <c r="D124" s="2507" t="s">
        <v>2324</v>
      </c>
      <c r="E124" s="2507" t="s">
        <v>2299</v>
      </c>
      <c r="F124" s="2507" t="s">
        <v>2325</v>
      </c>
      <c r="G124" s="2507" t="s">
        <v>2326</v>
      </c>
      <c r="H124" s="2507" t="s">
        <v>28</v>
      </c>
      <c r="I124" s="2507" t="s">
        <v>855</v>
      </c>
    </row>
    <row r="125" spans="1:9" ht="11.25" customHeight="1">
      <c r="A125" s="2507" t="s">
        <v>2250</v>
      </c>
      <c r="B125" s="2507" t="s">
        <v>16</v>
      </c>
      <c r="C125" s="2507" t="s">
        <v>2327</v>
      </c>
      <c r="D125" s="2507" t="s">
        <v>2328</v>
      </c>
      <c r="E125" s="2507" t="s">
        <v>2329</v>
      </c>
      <c r="F125" s="2507" t="s">
        <v>2330</v>
      </c>
      <c r="G125" s="2507" t="s">
        <v>28</v>
      </c>
      <c r="H125" s="2507" t="s">
        <v>28</v>
      </c>
      <c r="I125" s="2507" t="s">
        <v>855</v>
      </c>
    </row>
    <row r="126" spans="1:9" ht="11.25" customHeight="1">
      <c r="A126" s="2507" t="s">
        <v>2250</v>
      </c>
      <c r="B126" s="2507" t="s">
        <v>16</v>
      </c>
      <c r="C126" s="2507" t="s">
        <v>2334</v>
      </c>
      <c r="D126" s="2507" t="s">
        <v>2335</v>
      </c>
      <c r="E126" s="2507" t="s">
        <v>2329</v>
      </c>
      <c r="F126" s="2507" t="s">
        <v>2336</v>
      </c>
      <c r="G126" s="2507" t="s">
        <v>28</v>
      </c>
      <c r="H126" s="2507" t="s">
        <v>28</v>
      </c>
      <c r="I126" s="2507" t="s">
        <v>855</v>
      </c>
    </row>
    <row r="127" spans="1:9" ht="11.25" customHeight="1">
      <c r="A127" s="2507" t="s">
        <v>2250</v>
      </c>
      <c r="B127" s="2507" t="s">
        <v>16</v>
      </c>
      <c r="C127" s="2507" t="s">
        <v>28</v>
      </c>
      <c r="D127" s="2507" t="s">
        <v>2337</v>
      </c>
      <c r="E127" s="2507" t="s">
        <v>2338</v>
      </c>
      <c r="F127" s="2507" t="s">
        <v>2282</v>
      </c>
      <c r="G127" s="2507" t="s">
        <v>28</v>
      </c>
      <c r="H127" s="2507" t="s">
        <v>28</v>
      </c>
      <c r="I127" s="2507" t="s">
        <v>855</v>
      </c>
    </row>
    <row r="128" spans="1:9" ht="11.25" customHeight="1">
      <c r="A128" s="2507" t="s">
        <v>2250</v>
      </c>
      <c r="B128" s="2507" t="s">
        <v>16</v>
      </c>
      <c r="C128" s="2507" t="s">
        <v>2339</v>
      </c>
      <c r="D128" s="2507" t="s">
        <v>2340</v>
      </c>
      <c r="E128" s="2507" t="s">
        <v>2341</v>
      </c>
      <c r="F128" s="2507" t="s">
        <v>2292</v>
      </c>
      <c r="G128" s="2507" t="s">
        <v>2342</v>
      </c>
      <c r="H128" s="2507" t="s">
        <v>28</v>
      </c>
      <c r="I128" s="2507" t="s">
        <v>855</v>
      </c>
    </row>
    <row r="129" spans="1:9" ht="11.25" customHeight="1">
      <c r="A129" s="2507" t="s">
        <v>2250</v>
      </c>
      <c r="B129" s="2507" t="s">
        <v>16</v>
      </c>
      <c r="C129" s="2507" t="s">
        <v>2521</v>
      </c>
      <c r="D129" s="2507" t="s">
        <v>2522</v>
      </c>
      <c r="E129" s="2507" t="s">
        <v>2523</v>
      </c>
      <c r="F129" s="2507" t="s">
        <v>577</v>
      </c>
      <c r="G129" s="2507" t="s">
        <v>28</v>
      </c>
      <c r="H129" s="2507" t="s">
        <v>28</v>
      </c>
      <c r="I129" s="2507" t="s">
        <v>855</v>
      </c>
    </row>
    <row r="130" spans="1:9" ht="11.25" customHeight="1">
      <c r="A130" s="2507" t="s">
        <v>2250</v>
      </c>
      <c r="B130" s="2507" t="s">
        <v>16</v>
      </c>
      <c r="C130" s="2507" t="s">
        <v>2343</v>
      </c>
      <c r="D130" s="2507" t="s">
        <v>2344</v>
      </c>
      <c r="E130" s="2507" t="s">
        <v>2345</v>
      </c>
      <c r="F130" s="2507" t="s">
        <v>2346</v>
      </c>
      <c r="G130" s="2507" t="s">
        <v>28</v>
      </c>
      <c r="H130" s="2507" t="s">
        <v>28</v>
      </c>
      <c r="I130" s="2507" t="s">
        <v>855</v>
      </c>
    </row>
    <row r="131" spans="1:9" ht="11.25" customHeight="1">
      <c r="A131" s="2507" t="s">
        <v>2250</v>
      </c>
      <c r="B131" s="2507" t="s">
        <v>16</v>
      </c>
      <c r="C131" s="2507" t="s">
        <v>2347</v>
      </c>
      <c r="D131" s="2507" t="s">
        <v>2348</v>
      </c>
      <c r="E131" s="2507" t="s">
        <v>2349</v>
      </c>
      <c r="F131" s="2507" t="s">
        <v>2350</v>
      </c>
      <c r="G131" s="2507" t="s">
        <v>28</v>
      </c>
      <c r="H131" s="2507" t="s">
        <v>28</v>
      </c>
      <c r="I131" s="2507" t="s">
        <v>855</v>
      </c>
    </row>
    <row r="132" spans="1:9" ht="11.25" customHeight="1">
      <c r="A132" s="2507" t="s">
        <v>2250</v>
      </c>
      <c r="B132" s="2507" t="s">
        <v>16</v>
      </c>
      <c r="C132" s="2507" t="s">
        <v>2524</v>
      </c>
      <c r="D132" s="2507" t="s">
        <v>2525</v>
      </c>
      <c r="E132" s="2507" t="s">
        <v>2526</v>
      </c>
      <c r="F132" s="2507" t="s">
        <v>2316</v>
      </c>
      <c r="G132" s="2507" t="s">
        <v>2527</v>
      </c>
      <c r="H132" s="2507" t="s">
        <v>28</v>
      </c>
      <c r="I132" s="2507" t="s">
        <v>855</v>
      </c>
    </row>
    <row r="133" spans="1:9" ht="11.25" customHeight="1">
      <c r="A133" s="2507" t="s">
        <v>2250</v>
      </c>
      <c r="B133" s="2507" t="s">
        <v>16</v>
      </c>
      <c r="C133" s="2507" t="s">
        <v>2351</v>
      </c>
      <c r="D133" s="2507" t="s">
        <v>2352</v>
      </c>
      <c r="E133" s="2507" t="s">
        <v>2353</v>
      </c>
      <c r="F133" s="2507" t="s">
        <v>2354</v>
      </c>
      <c r="G133" s="2507" t="s">
        <v>2355</v>
      </c>
      <c r="H133" s="2507" t="s">
        <v>28</v>
      </c>
      <c r="I133" s="2507" t="s">
        <v>855</v>
      </c>
    </row>
    <row r="134" spans="1:9" ht="11.25" customHeight="1">
      <c r="A134" s="2507" t="s">
        <v>2250</v>
      </c>
      <c r="B134" s="2507" t="s">
        <v>16</v>
      </c>
      <c r="C134" s="2507" t="s">
        <v>2528</v>
      </c>
      <c r="D134" s="2507" t="s">
        <v>2529</v>
      </c>
      <c r="E134" s="2507" t="s">
        <v>2530</v>
      </c>
      <c r="F134" s="2507" t="s">
        <v>2271</v>
      </c>
      <c r="G134" s="2507" t="s">
        <v>28</v>
      </c>
      <c r="H134" s="2507" t="s">
        <v>28</v>
      </c>
      <c r="I134" s="2507" t="s">
        <v>855</v>
      </c>
    </row>
    <row r="135" spans="1:9" ht="11.25" customHeight="1">
      <c r="A135" s="2507" t="s">
        <v>2250</v>
      </c>
      <c r="B135" s="2507" t="s">
        <v>16</v>
      </c>
      <c r="C135" s="2507" t="s">
        <v>2531</v>
      </c>
      <c r="D135" s="2507" t="s">
        <v>2532</v>
      </c>
      <c r="E135" s="2507" t="s">
        <v>2533</v>
      </c>
      <c r="F135" s="2507" t="s">
        <v>2316</v>
      </c>
      <c r="G135" s="2507" t="s">
        <v>28</v>
      </c>
      <c r="H135" s="2507" t="s">
        <v>28</v>
      </c>
      <c r="I135" s="2507" t="s">
        <v>855</v>
      </c>
    </row>
    <row r="136" spans="1:9" ht="11.25" customHeight="1">
      <c r="A136" s="2507" t="s">
        <v>2250</v>
      </c>
      <c r="B136" s="2507" t="s">
        <v>16</v>
      </c>
      <c r="C136" s="2507" t="s">
        <v>2356</v>
      </c>
      <c r="D136" s="2507" t="s">
        <v>2357</v>
      </c>
      <c r="E136" s="2507" t="s">
        <v>2358</v>
      </c>
      <c r="F136" s="2507" t="s">
        <v>2359</v>
      </c>
      <c r="G136" s="2507" t="s">
        <v>2360</v>
      </c>
      <c r="H136" s="2507" t="s">
        <v>28</v>
      </c>
      <c r="I136" s="2507" t="s">
        <v>855</v>
      </c>
    </row>
    <row r="137" spans="1:9" ht="11.25" customHeight="1">
      <c r="A137" s="2507" t="s">
        <v>2250</v>
      </c>
      <c r="B137" s="2507" t="s">
        <v>16</v>
      </c>
      <c r="C137" s="2507" t="s">
        <v>2361</v>
      </c>
      <c r="D137" s="2507" t="s">
        <v>2362</v>
      </c>
      <c r="E137" s="2507" t="s">
        <v>2329</v>
      </c>
      <c r="F137" s="2507" t="s">
        <v>2363</v>
      </c>
      <c r="G137" s="2507" t="s">
        <v>28</v>
      </c>
      <c r="H137" s="2507" t="s">
        <v>28</v>
      </c>
      <c r="I137" s="2507" t="s">
        <v>855</v>
      </c>
    </row>
    <row r="138" spans="1:9" ht="11.25" customHeight="1">
      <c r="A138" s="2507" t="s">
        <v>2250</v>
      </c>
      <c r="B138" s="2507" t="s">
        <v>16</v>
      </c>
      <c r="C138" s="2507" t="s">
        <v>2364</v>
      </c>
      <c r="D138" s="2507" t="s">
        <v>2365</v>
      </c>
      <c r="E138" s="2507" t="s">
        <v>2253</v>
      </c>
      <c r="F138" s="2507" t="s">
        <v>2325</v>
      </c>
      <c r="G138" s="2507" t="s">
        <v>28</v>
      </c>
      <c r="H138" s="2507" t="s">
        <v>28</v>
      </c>
      <c r="I138" s="2507" t="s">
        <v>855</v>
      </c>
    </row>
    <row r="139" spans="1:9" ht="11.25" customHeight="1">
      <c r="A139" s="2507" t="s">
        <v>2250</v>
      </c>
      <c r="B139" s="2507" t="s">
        <v>16</v>
      </c>
      <c r="C139" s="2507" t="s">
        <v>2372</v>
      </c>
      <c r="D139" s="2507" t="s">
        <v>2373</v>
      </c>
      <c r="E139" s="2507" t="s">
        <v>2374</v>
      </c>
      <c r="F139" s="2507" t="s">
        <v>2350</v>
      </c>
      <c r="G139" s="2507" t="s">
        <v>28</v>
      </c>
      <c r="H139" s="2507" t="s">
        <v>28</v>
      </c>
      <c r="I139" s="2507" t="s">
        <v>855</v>
      </c>
    </row>
    <row r="140" spans="1:9" ht="11.25" customHeight="1">
      <c r="A140" s="2507" t="s">
        <v>2250</v>
      </c>
      <c r="B140" s="2507" t="s">
        <v>16</v>
      </c>
      <c r="C140" s="2507" t="s">
        <v>2375</v>
      </c>
      <c r="D140" s="2507" t="s">
        <v>2376</v>
      </c>
      <c r="E140" s="2507" t="s">
        <v>2377</v>
      </c>
      <c r="F140" s="2507" t="s">
        <v>2378</v>
      </c>
      <c r="G140" s="2507" t="s">
        <v>2379</v>
      </c>
      <c r="H140" s="2507" t="s">
        <v>28</v>
      </c>
      <c r="I140" s="2507" t="s">
        <v>855</v>
      </c>
    </row>
    <row r="141" spans="1:9" ht="11.25" customHeight="1">
      <c r="A141" s="2507" t="s">
        <v>2250</v>
      </c>
      <c r="B141" s="2507" t="s">
        <v>16</v>
      </c>
      <c r="C141" s="2507" t="s">
        <v>2534</v>
      </c>
      <c r="D141" s="2507" t="s">
        <v>2535</v>
      </c>
      <c r="E141" s="2507" t="s">
        <v>2536</v>
      </c>
      <c r="F141" s="2507" t="s">
        <v>2316</v>
      </c>
      <c r="G141" s="2507" t="s">
        <v>2537</v>
      </c>
      <c r="H141" s="2507" t="s">
        <v>28</v>
      </c>
      <c r="I141" s="2507" t="s">
        <v>855</v>
      </c>
    </row>
    <row r="142" spans="1:9" ht="11.25" customHeight="1">
      <c r="A142" s="2507" t="s">
        <v>2250</v>
      </c>
      <c r="B142" s="2507" t="s">
        <v>16</v>
      </c>
      <c r="C142" s="2507" t="s">
        <v>2383</v>
      </c>
      <c r="D142" s="2507" t="s">
        <v>2384</v>
      </c>
      <c r="E142" s="2507" t="s">
        <v>2385</v>
      </c>
      <c r="F142" s="2507" t="s">
        <v>2271</v>
      </c>
      <c r="G142" s="2507" t="s">
        <v>28</v>
      </c>
      <c r="H142" s="2507" t="s">
        <v>28</v>
      </c>
      <c r="I142" s="2507" t="s">
        <v>855</v>
      </c>
    </row>
    <row r="143" spans="1:9" ht="11.25" customHeight="1">
      <c r="A143" s="2507" t="s">
        <v>2250</v>
      </c>
      <c r="B143" s="2507" t="s">
        <v>16</v>
      </c>
      <c r="C143" s="2507" t="s">
        <v>2393</v>
      </c>
      <c r="D143" s="2507" t="s">
        <v>2394</v>
      </c>
      <c r="E143" s="2507" t="s">
        <v>2395</v>
      </c>
      <c r="F143" s="2507" t="s">
        <v>2396</v>
      </c>
      <c r="G143" s="2507" t="s">
        <v>28</v>
      </c>
      <c r="H143" s="2507" t="s">
        <v>28</v>
      </c>
      <c r="I143" s="2507" t="s">
        <v>855</v>
      </c>
    </row>
    <row r="144" spans="1:9" ht="11.25" customHeight="1">
      <c r="A144" s="2507" t="s">
        <v>2250</v>
      </c>
      <c r="B144" s="2507" t="s">
        <v>16</v>
      </c>
      <c r="C144" s="2507" t="s">
        <v>2397</v>
      </c>
      <c r="D144" s="2507" t="s">
        <v>2398</v>
      </c>
      <c r="E144" s="2507" t="s">
        <v>2329</v>
      </c>
      <c r="F144" s="2507" t="s">
        <v>2389</v>
      </c>
      <c r="G144" s="2507" t="s">
        <v>2399</v>
      </c>
      <c r="H144" s="2507" t="s">
        <v>28</v>
      </c>
      <c r="I144" s="2507" t="s">
        <v>855</v>
      </c>
    </row>
    <row r="145" spans="1:9" ht="11.25" customHeight="1">
      <c r="A145" s="2507" t="s">
        <v>2250</v>
      </c>
      <c r="B145" s="2507" t="s">
        <v>16</v>
      </c>
      <c r="C145" s="2507" t="s">
        <v>2408</v>
      </c>
      <c r="D145" s="2507" t="s">
        <v>2409</v>
      </c>
      <c r="E145" s="2507" t="s">
        <v>2410</v>
      </c>
      <c r="F145" s="2507" t="s">
        <v>2411</v>
      </c>
      <c r="G145" s="2507" t="s">
        <v>2412</v>
      </c>
      <c r="H145" s="2507" t="s">
        <v>28</v>
      </c>
      <c r="I145" s="2507" t="s">
        <v>855</v>
      </c>
    </row>
    <row r="146" spans="1:9" ht="11.25" customHeight="1">
      <c r="A146" s="2507" t="s">
        <v>2250</v>
      </c>
      <c r="B146" s="2507" t="s">
        <v>16</v>
      </c>
      <c r="C146" s="2507" t="s">
        <v>2538</v>
      </c>
      <c r="D146" s="2507" t="s">
        <v>2539</v>
      </c>
      <c r="E146" s="2507" t="s">
        <v>2540</v>
      </c>
      <c r="F146" s="2507" t="s">
        <v>2511</v>
      </c>
      <c r="G146" s="2507" t="s">
        <v>28</v>
      </c>
      <c r="H146" s="2507" t="s">
        <v>28</v>
      </c>
      <c r="I146" s="2507" t="s">
        <v>855</v>
      </c>
    </row>
    <row r="147" spans="1:9" ht="11.25" customHeight="1">
      <c r="A147" s="2507" t="s">
        <v>2250</v>
      </c>
      <c r="B147" s="2507" t="s">
        <v>16</v>
      </c>
      <c r="C147" s="2507" t="s">
        <v>2413</v>
      </c>
      <c r="D147" s="2507" t="s">
        <v>2414</v>
      </c>
      <c r="E147" s="2507" t="s">
        <v>2415</v>
      </c>
      <c r="F147" s="2507" t="s">
        <v>2267</v>
      </c>
      <c r="G147" s="2507" t="s">
        <v>2303</v>
      </c>
      <c r="H147" s="2507" t="s">
        <v>28</v>
      </c>
      <c r="I147" s="2507" t="s">
        <v>855</v>
      </c>
    </row>
    <row r="148" spans="1:9" ht="11.25" customHeight="1">
      <c r="A148" s="2507" t="s">
        <v>2250</v>
      </c>
      <c r="B148" s="2507" t="s">
        <v>16</v>
      </c>
      <c r="C148" s="2507" t="s">
        <v>2541</v>
      </c>
      <c r="D148" s="2507" t="s">
        <v>2542</v>
      </c>
      <c r="E148" s="2507" t="s">
        <v>2543</v>
      </c>
      <c r="F148" s="2507" t="s">
        <v>2316</v>
      </c>
      <c r="G148" s="2507" t="s">
        <v>2537</v>
      </c>
      <c r="H148" s="2507" t="s">
        <v>28</v>
      </c>
      <c r="I148" s="2507" t="s">
        <v>855</v>
      </c>
    </row>
    <row r="149" spans="1:9" ht="11.25" customHeight="1">
      <c r="A149" s="2507" t="s">
        <v>2250</v>
      </c>
      <c r="B149" s="2507" t="s">
        <v>16</v>
      </c>
      <c r="C149" s="2507" t="s">
        <v>2424</v>
      </c>
      <c r="D149" s="2507" t="s">
        <v>2425</v>
      </c>
      <c r="E149" s="2507" t="s">
        <v>2426</v>
      </c>
      <c r="F149" s="2507" t="s">
        <v>51</v>
      </c>
      <c r="G149" s="2507" t="s">
        <v>28</v>
      </c>
      <c r="H149" s="2507" t="s">
        <v>28</v>
      </c>
      <c r="I149" s="2507" t="s">
        <v>855</v>
      </c>
    </row>
    <row r="150" spans="1:9" ht="11.25" customHeight="1">
      <c r="A150" s="2507" t="s">
        <v>2250</v>
      </c>
      <c r="B150" s="2507" t="s">
        <v>16</v>
      </c>
      <c r="C150" s="2507" t="s">
        <v>2431</v>
      </c>
      <c r="D150" s="2507" t="s">
        <v>2432</v>
      </c>
      <c r="E150" s="2507" t="s">
        <v>2433</v>
      </c>
      <c r="F150" s="2507" t="s">
        <v>2389</v>
      </c>
      <c r="G150" s="2507" t="s">
        <v>28</v>
      </c>
      <c r="H150" s="2507" t="s">
        <v>28</v>
      </c>
      <c r="I150" s="2507" t="s">
        <v>855</v>
      </c>
    </row>
    <row r="151" spans="1:9" ht="11.25" customHeight="1">
      <c r="A151" s="2507" t="s">
        <v>2250</v>
      </c>
      <c r="B151" s="2507" t="s">
        <v>16</v>
      </c>
      <c r="C151" s="2507" t="s">
        <v>2434</v>
      </c>
      <c r="D151" s="2507" t="s">
        <v>2435</v>
      </c>
      <c r="E151" s="2507" t="s">
        <v>2436</v>
      </c>
      <c r="F151" s="2507" t="s">
        <v>2267</v>
      </c>
      <c r="G151" s="2507" t="s">
        <v>28</v>
      </c>
      <c r="H151" s="2507" t="s">
        <v>28</v>
      </c>
      <c r="I151" s="2507" t="s">
        <v>855</v>
      </c>
    </row>
    <row r="152" spans="1:9" ht="11.25" customHeight="1">
      <c r="A152" s="2507" t="s">
        <v>2250</v>
      </c>
      <c r="B152" s="2507" t="s">
        <v>16</v>
      </c>
      <c r="C152" s="2507" t="s">
        <v>2544</v>
      </c>
      <c r="D152" s="2507" t="s">
        <v>2545</v>
      </c>
      <c r="E152" s="2507" t="s">
        <v>2546</v>
      </c>
      <c r="F152" s="2507" t="s">
        <v>2271</v>
      </c>
      <c r="G152" s="2507" t="s">
        <v>28</v>
      </c>
      <c r="H152" s="2507" t="s">
        <v>28</v>
      </c>
      <c r="I152" s="2507" t="s">
        <v>855</v>
      </c>
    </row>
    <row r="153" spans="1:9" ht="11.25" customHeight="1">
      <c r="A153" s="2507" t="s">
        <v>2250</v>
      </c>
      <c r="B153" s="2507" t="s">
        <v>16</v>
      </c>
      <c r="C153" s="2507" t="s">
        <v>2447</v>
      </c>
      <c r="D153" s="2507" t="s">
        <v>2448</v>
      </c>
      <c r="E153" s="2507" t="s">
        <v>2449</v>
      </c>
      <c r="F153" s="2507" t="s">
        <v>2440</v>
      </c>
      <c r="G153" s="2507" t="s">
        <v>28</v>
      </c>
      <c r="H153" s="2507" t="s">
        <v>28</v>
      </c>
      <c r="I153" s="2507" t="s">
        <v>855</v>
      </c>
    </row>
    <row r="154" spans="1:9" ht="11.25" customHeight="1">
      <c r="A154" s="2507" t="s">
        <v>2250</v>
      </c>
      <c r="B154" s="2507" t="s">
        <v>16</v>
      </c>
      <c r="C154" s="2507" t="s">
        <v>2455</v>
      </c>
      <c r="D154" s="2507" t="s">
        <v>2456</v>
      </c>
      <c r="E154" s="2507" t="s">
        <v>2457</v>
      </c>
      <c r="F154" s="2507" t="s">
        <v>2458</v>
      </c>
      <c r="G154" s="2507" t="s">
        <v>2459</v>
      </c>
      <c r="H154" s="2507" t="s">
        <v>28</v>
      </c>
      <c r="I154" s="2507" t="s">
        <v>855</v>
      </c>
    </row>
    <row r="155" spans="1:9" ht="11.25" customHeight="1">
      <c r="A155" s="2507" t="s">
        <v>2250</v>
      </c>
      <c r="B155" s="2507" t="s">
        <v>16</v>
      </c>
      <c r="C155" s="2507" t="s">
        <v>2460</v>
      </c>
      <c r="D155" s="2507" t="s">
        <v>2461</v>
      </c>
      <c r="E155" s="2507" t="s">
        <v>2462</v>
      </c>
      <c r="F155" s="2507" t="s">
        <v>2463</v>
      </c>
      <c r="G155" s="2507" t="s">
        <v>28</v>
      </c>
      <c r="H155" s="2507" t="s">
        <v>28</v>
      </c>
      <c r="I155" s="2507" t="s">
        <v>855</v>
      </c>
    </row>
    <row r="156" spans="1:9" ht="11.25" customHeight="1">
      <c r="A156" s="2507" t="s">
        <v>2250</v>
      </c>
      <c r="B156" s="2507" t="s">
        <v>16</v>
      </c>
      <c r="C156" s="2507" t="s">
        <v>2464</v>
      </c>
      <c r="D156" s="2507" t="s">
        <v>2465</v>
      </c>
      <c r="E156" s="2507" t="s">
        <v>2395</v>
      </c>
      <c r="F156" s="2507" t="s">
        <v>2254</v>
      </c>
      <c r="G156" s="2507" t="s">
        <v>28</v>
      </c>
      <c r="H156" s="2507" t="s">
        <v>28</v>
      </c>
      <c r="I156" s="2507" t="s">
        <v>855</v>
      </c>
    </row>
    <row r="157" spans="1:9" ht="11.25" customHeight="1">
      <c r="A157" s="2507" t="s">
        <v>2250</v>
      </c>
      <c r="B157" s="2507" t="s">
        <v>16</v>
      </c>
      <c r="C157" s="2507" t="s">
        <v>2470</v>
      </c>
      <c r="D157" s="2507" t="s">
        <v>2471</v>
      </c>
      <c r="E157" s="2507" t="s">
        <v>2472</v>
      </c>
      <c r="F157" s="2507" t="s">
        <v>2463</v>
      </c>
      <c r="G157" s="2507" t="s">
        <v>28</v>
      </c>
      <c r="H157" s="2507" t="s">
        <v>28</v>
      </c>
      <c r="I157" s="2507" t="s">
        <v>855</v>
      </c>
    </row>
    <row r="158" spans="1:9" ht="11.25" customHeight="1">
      <c r="A158" s="2507" t="s">
        <v>2250</v>
      </c>
      <c r="B158" s="2507" t="s">
        <v>16</v>
      </c>
      <c r="C158" s="2507" t="s">
        <v>2473</v>
      </c>
      <c r="D158" s="2507" t="s">
        <v>2474</v>
      </c>
      <c r="E158" s="2507" t="s">
        <v>2475</v>
      </c>
      <c r="F158" s="2507" t="s">
        <v>2267</v>
      </c>
      <c r="G158" s="2507" t="s">
        <v>28</v>
      </c>
      <c r="H158" s="2507" t="s">
        <v>28</v>
      </c>
      <c r="I158" s="2507" t="s">
        <v>855</v>
      </c>
    </row>
    <row r="159" spans="1:9" ht="11.25" customHeight="1">
      <c r="A159" s="2507" t="s">
        <v>2250</v>
      </c>
      <c r="B159" s="2507" t="s">
        <v>16</v>
      </c>
      <c r="C159" s="2507" t="s">
        <v>2483</v>
      </c>
      <c r="D159" s="2507" t="s">
        <v>2484</v>
      </c>
      <c r="E159" s="2507" t="s">
        <v>2345</v>
      </c>
      <c r="F159" s="2507" t="s">
        <v>2485</v>
      </c>
      <c r="G159" s="2507" t="s">
        <v>28</v>
      </c>
      <c r="H159" s="2507" t="s">
        <v>28</v>
      </c>
      <c r="I159" s="2507" t="s">
        <v>855</v>
      </c>
    </row>
    <row r="160" spans="1:9" ht="11.25" customHeight="1">
      <c r="A160" s="2507" t="s">
        <v>2250</v>
      </c>
      <c r="B160" s="2507" t="s">
        <v>16</v>
      </c>
      <c r="C160" s="2507" t="s">
        <v>2486</v>
      </c>
      <c r="D160" s="2507" t="s">
        <v>2487</v>
      </c>
      <c r="E160" s="2507" t="s">
        <v>2345</v>
      </c>
      <c r="F160" s="2507" t="s">
        <v>2488</v>
      </c>
      <c r="G160" s="2507" t="s">
        <v>28</v>
      </c>
      <c r="H160" s="2507" t="s">
        <v>28</v>
      </c>
      <c r="I160" s="2507" t="s">
        <v>855</v>
      </c>
    </row>
    <row r="161" spans="1:9" ht="11.25" customHeight="1">
      <c r="A161" s="2507" t="s">
        <v>2250</v>
      </c>
      <c r="B161" s="2507" t="s">
        <v>16</v>
      </c>
      <c r="C161" s="2507" t="s">
        <v>2489</v>
      </c>
      <c r="D161" s="2507" t="s">
        <v>2490</v>
      </c>
      <c r="E161" s="2507" t="s">
        <v>2329</v>
      </c>
      <c r="F161" s="2507" t="s">
        <v>2396</v>
      </c>
      <c r="G161" s="2507" t="s">
        <v>28</v>
      </c>
      <c r="H161" s="2507" t="s">
        <v>28</v>
      </c>
      <c r="I161" s="2507" t="s">
        <v>855</v>
      </c>
    </row>
    <row r="162" spans="1:9" ht="11.25" customHeight="1">
      <c r="A162" s="2507" t="s">
        <v>2250</v>
      </c>
      <c r="B162" s="2507" t="s">
        <v>16</v>
      </c>
      <c r="C162" s="2507" t="s">
        <v>2491</v>
      </c>
      <c r="D162" s="2507" t="s">
        <v>2492</v>
      </c>
      <c r="E162" s="2507" t="s">
        <v>2493</v>
      </c>
      <c r="F162" s="2507" t="s">
        <v>2494</v>
      </c>
      <c r="G162" s="2507" t="s">
        <v>28</v>
      </c>
      <c r="H162" s="2507" t="s">
        <v>28</v>
      </c>
      <c r="I162" s="2507" t="s">
        <v>855</v>
      </c>
    </row>
    <row r="163" spans="1:9" ht="11.25" customHeight="1">
      <c r="A163" s="2507" t="s">
        <v>2250</v>
      </c>
      <c r="B163" s="2507" t="s">
        <v>16</v>
      </c>
      <c r="C163" s="2507" t="s">
        <v>2495</v>
      </c>
      <c r="D163" s="2507" t="s">
        <v>2496</v>
      </c>
      <c r="E163" s="2507" t="s">
        <v>2497</v>
      </c>
      <c r="F163" s="2507" t="s">
        <v>2498</v>
      </c>
      <c r="G163" s="2507" t="s">
        <v>28</v>
      </c>
      <c r="H163" s="2507" t="s">
        <v>28</v>
      </c>
      <c r="I163" s="2507" t="s">
        <v>855</v>
      </c>
    </row>
    <row r="164" spans="1:9" ht="11.25" customHeight="1">
      <c r="A164" s="2507" t="s">
        <v>2250</v>
      </c>
      <c r="B164" s="2507" t="s">
        <v>16</v>
      </c>
      <c r="C164" s="2507" t="s">
        <v>2499</v>
      </c>
      <c r="D164" s="2507" t="s">
        <v>2500</v>
      </c>
      <c r="E164" s="2507" t="s">
        <v>2358</v>
      </c>
      <c r="F164" s="2507" t="s">
        <v>2482</v>
      </c>
      <c r="G164" s="2507" t="s">
        <v>2469</v>
      </c>
      <c r="H164" s="2507" t="s">
        <v>28</v>
      </c>
      <c r="I164" s="2507" t="s">
        <v>855</v>
      </c>
    </row>
    <row r="165" spans="1:9" ht="11.25" customHeight="1">
      <c r="A165" s="2507" t="s">
        <v>2250</v>
      </c>
      <c r="B165" s="2507" t="s">
        <v>16</v>
      </c>
      <c r="C165" s="2507" t="s">
        <v>2512</v>
      </c>
      <c r="D165" s="2507" t="s">
        <v>2513</v>
      </c>
      <c r="E165" s="2507" t="s">
        <v>2345</v>
      </c>
      <c r="F165" s="2507" t="s">
        <v>2514</v>
      </c>
      <c r="G165" s="2507" t="s">
        <v>28</v>
      </c>
      <c r="H165" s="2507" t="s">
        <v>28</v>
      </c>
      <c r="I165" s="2507" t="s">
        <v>855</v>
      </c>
    </row>
    <row r="166" spans="1:9" ht="11.25" customHeight="1">
      <c r="A166" s="2507" t="s">
        <v>2250</v>
      </c>
      <c r="B166" s="2507" t="s">
        <v>16</v>
      </c>
      <c r="C166" s="2507" t="s">
        <v>2515</v>
      </c>
      <c r="D166" s="2507" t="s">
        <v>2516</v>
      </c>
      <c r="E166" s="2507" t="s">
        <v>2497</v>
      </c>
      <c r="F166" s="2507" t="s">
        <v>2517</v>
      </c>
      <c r="G166" s="2507" t="s">
        <v>28</v>
      </c>
      <c r="H166" s="2507" t="s">
        <v>28</v>
      </c>
      <c r="I166" s="2507" t="s">
        <v>855</v>
      </c>
    </row>
    <row r="167" spans="1:9" ht="11.25" customHeight="1">
      <c r="A167" s="2507" t="s">
        <v>2250</v>
      </c>
      <c r="B167" s="2507" t="s">
        <v>16</v>
      </c>
      <c r="C167" s="2507" t="s">
        <v>2251</v>
      </c>
      <c r="D167" s="2507" t="s">
        <v>2252</v>
      </c>
      <c r="E167" s="2507" t="s">
        <v>2253</v>
      </c>
      <c r="F167" s="2507" t="s">
        <v>2254</v>
      </c>
      <c r="G167" s="2507" t="s">
        <v>2255</v>
      </c>
      <c r="H167" s="2507" t="s">
        <v>28</v>
      </c>
      <c r="I167" s="2507" t="s">
        <v>908</v>
      </c>
    </row>
    <row r="168" spans="1:9" ht="11.25" customHeight="1">
      <c r="A168" s="2507" t="s">
        <v>2250</v>
      </c>
      <c r="B168" s="2507" t="s">
        <v>16</v>
      </c>
      <c r="C168" s="2507" t="s">
        <v>2256</v>
      </c>
      <c r="D168" s="2507" t="s">
        <v>2257</v>
      </c>
      <c r="E168" s="2507" t="s">
        <v>2258</v>
      </c>
      <c r="F168" s="2507" t="s">
        <v>51</v>
      </c>
      <c r="G168" s="2507" t="s">
        <v>2259</v>
      </c>
      <c r="H168" s="2507" t="s">
        <v>28</v>
      </c>
      <c r="I168" s="2507" t="s">
        <v>908</v>
      </c>
    </row>
    <row r="169" spans="1:9" ht="11.25" customHeight="1">
      <c r="A169" s="2507" t="s">
        <v>2250</v>
      </c>
      <c r="B169" s="2507" t="s">
        <v>16</v>
      </c>
      <c r="C169" s="2507" t="s">
        <v>2279</v>
      </c>
      <c r="D169" s="2507" t="s">
        <v>2280</v>
      </c>
      <c r="E169" s="2507" t="s">
        <v>2281</v>
      </c>
      <c r="F169" s="2507" t="s">
        <v>2282</v>
      </c>
      <c r="G169" s="2507" t="s">
        <v>28</v>
      </c>
      <c r="H169" s="2507" t="s">
        <v>28</v>
      </c>
      <c r="I169" s="2507" t="s">
        <v>908</v>
      </c>
    </row>
    <row r="170" spans="1:9" ht="11.25" customHeight="1">
      <c r="A170" s="2507" t="s">
        <v>2250</v>
      </c>
      <c r="B170" s="2507" t="s">
        <v>16</v>
      </c>
      <c r="C170" s="2507" t="s">
        <v>2283</v>
      </c>
      <c r="D170" s="2507" t="s">
        <v>2284</v>
      </c>
      <c r="E170" s="2507" t="s">
        <v>2285</v>
      </c>
      <c r="F170" s="2507" t="s">
        <v>2271</v>
      </c>
      <c r="G170" s="2507" t="s">
        <v>28</v>
      </c>
      <c r="H170" s="2507" t="s">
        <v>28</v>
      </c>
      <c r="I170" s="2507" t="s">
        <v>908</v>
      </c>
    </row>
    <row r="171" spans="1:9" ht="11.25" customHeight="1">
      <c r="A171" s="2507" t="s">
        <v>2250</v>
      </c>
      <c r="B171" s="2507" t="s">
        <v>16</v>
      </c>
      <c r="C171" s="2507" t="s">
        <v>2289</v>
      </c>
      <c r="D171" s="2507" t="s">
        <v>2290</v>
      </c>
      <c r="E171" s="2507" t="s">
        <v>2291</v>
      </c>
      <c r="F171" s="2507" t="s">
        <v>2292</v>
      </c>
      <c r="G171" s="2507" t="s">
        <v>28</v>
      </c>
      <c r="H171" s="2507" t="s">
        <v>28</v>
      </c>
      <c r="I171" s="2507" t="s">
        <v>908</v>
      </c>
    </row>
    <row r="172" spans="1:9" ht="11.25" customHeight="1">
      <c r="A172" s="2507" t="s">
        <v>2250</v>
      </c>
      <c r="B172" s="2507" t="s">
        <v>16</v>
      </c>
      <c r="C172" s="2507" t="s">
        <v>2293</v>
      </c>
      <c r="D172" s="2507" t="s">
        <v>2294</v>
      </c>
      <c r="E172" s="2507" t="s">
        <v>2295</v>
      </c>
      <c r="F172" s="2507" t="s">
        <v>51</v>
      </c>
      <c r="G172" s="2507" t="s">
        <v>2296</v>
      </c>
      <c r="H172" s="2507" t="s">
        <v>28</v>
      </c>
      <c r="I172" s="2507" t="s">
        <v>908</v>
      </c>
    </row>
    <row r="173" spans="1:9" ht="11.25" customHeight="1">
      <c r="A173" s="2507" t="s">
        <v>2250</v>
      </c>
      <c r="B173" s="2507" t="s">
        <v>16</v>
      </c>
      <c r="C173" s="2507" t="s">
        <v>2300</v>
      </c>
      <c r="D173" s="2507" t="s">
        <v>2301</v>
      </c>
      <c r="E173" s="2507" t="s">
        <v>2299</v>
      </c>
      <c r="F173" s="2507" t="s">
        <v>2302</v>
      </c>
      <c r="G173" s="2507" t="s">
        <v>2303</v>
      </c>
      <c r="H173" s="2507" t="s">
        <v>28</v>
      </c>
      <c r="I173" s="2507" t="s">
        <v>908</v>
      </c>
    </row>
    <row r="174" spans="1:9" ht="11.25" customHeight="1">
      <c r="A174" s="2507" t="s">
        <v>2250</v>
      </c>
      <c r="B174" s="2507" t="s">
        <v>16</v>
      </c>
      <c r="C174" s="2507" t="s">
        <v>2306</v>
      </c>
      <c r="D174" s="2507" t="s">
        <v>2307</v>
      </c>
      <c r="E174" s="2507" t="s">
        <v>2299</v>
      </c>
      <c r="F174" s="2507" t="s">
        <v>2308</v>
      </c>
      <c r="G174" s="2507" t="s">
        <v>2309</v>
      </c>
      <c r="H174" s="2507" t="s">
        <v>28</v>
      </c>
      <c r="I174" s="2507" t="s">
        <v>908</v>
      </c>
    </row>
    <row r="175" spans="1:9" ht="11.25" customHeight="1">
      <c r="A175" s="2507" t="s">
        <v>2250</v>
      </c>
      <c r="B175" s="2507" t="s">
        <v>16</v>
      </c>
      <c r="C175" s="2507" t="s">
        <v>2310</v>
      </c>
      <c r="D175" s="2507" t="s">
        <v>2311</v>
      </c>
      <c r="E175" s="2507" t="s">
        <v>2299</v>
      </c>
      <c r="F175" s="2507" t="s">
        <v>2312</v>
      </c>
      <c r="G175" s="2507" t="s">
        <v>2313</v>
      </c>
      <c r="H175" s="2507" t="s">
        <v>28</v>
      </c>
      <c r="I175" s="2507" t="s">
        <v>908</v>
      </c>
    </row>
    <row r="176" spans="1:9" ht="11.25" customHeight="1">
      <c r="A176" s="2507" t="s">
        <v>2250</v>
      </c>
      <c r="B176" s="2507" t="s">
        <v>16</v>
      </c>
      <c r="C176" s="2507" t="s">
        <v>2320</v>
      </c>
      <c r="D176" s="2507" t="s">
        <v>2321</v>
      </c>
      <c r="E176" s="2507" t="s">
        <v>2299</v>
      </c>
      <c r="F176" s="2507" t="s">
        <v>2322</v>
      </c>
      <c r="G176" s="2507" t="s">
        <v>28</v>
      </c>
      <c r="H176" s="2507" t="s">
        <v>28</v>
      </c>
      <c r="I176" s="2507" t="s">
        <v>908</v>
      </c>
    </row>
    <row r="177" spans="1:9" ht="11.25" customHeight="1">
      <c r="A177" s="2507" t="s">
        <v>2250</v>
      </c>
      <c r="B177" s="2507" t="s">
        <v>16</v>
      </c>
      <c r="C177" s="2507" t="s">
        <v>2323</v>
      </c>
      <c r="D177" s="2507" t="s">
        <v>2324</v>
      </c>
      <c r="E177" s="2507" t="s">
        <v>2299</v>
      </c>
      <c r="F177" s="2507" t="s">
        <v>2325</v>
      </c>
      <c r="G177" s="2507" t="s">
        <v>2326</v>
      </c>
      <c r="H177" s="2507" t="s">
        <v>28</v>
      </c>
      <c r="I177" s="2507" t="s">
        <v>908</v>
      </c>
    </row>
    <row r="178" spans="1:9" ht="11.25" customHeight="1">
      <c r="A178" s="2507" t="s">
        <v>2250</v>
      </c>
      <c r="B178" s="2507" t="s">
        <v>16</v>
      </c>
      <c r="C178" s="2507" t="s">
        <v>2327</v>
      </c>
      <c r="D178" s="2507" t="s">
        <v>2328</v>
      </c>
      <c r="E178" s="2507" t="s">
        <v>2329</v>
      </c>
      <c r="F178" s="2507" t="s">
        <v>2330</v>
      </c>
      <c r="G178" s="2507" t="s">
        <v>28</v>
      </c>
      <c r="H178" s="2507" t="s">
        <v>28</v>
      </c>
      <c r="I178" s="2507" t="s">
        <v>908</v>
      </c>
    </row>
    <row r="179" spans="1:9" ht="11.25" customHeight="1">
      <c r="A179" s="2507" t="s">
        <v>2250</v>
      </c>
      <c r="B179" s="2507" t="s">
        <v>16</v>
      </c>
      <c r="C179" s="2507" t="s">
        <v>2334</v>
      </c>
      <c r="D179" s="2507" t="s">
        <v>2335</v>
      </c>
      <c r="E179" s="2507" t="s">
        <v>2329</v>
      </c>
      <c r="F179" s="2507" t="s">
        <v>2336</v>
      </c>
      <c r="G179" s="2507" t="s">
        <v>28</v>
      </c>
      <c r="H179" s="2507" t="s">
        <v>28</v>
      </c>
      <c r="I179" s="2507" t="s">
        <v>908</v>
      </c>
    </row>
    <row r="180" spans="1:9" ht="11.25" customHeight="1">
      <c r="A180" s="2507" t="s">
        <v>2250</v>
      </c>
      <c r="B180" s="2507" t="s">
        <v>16</v>
      </c>
      <c r="C180" s="2507" t="s">
        <v>28</v>
      </c>
      <c r="D180" s="2507" t="s">
        <v>2337</v>
      </c>
      <c r="E180" s="2507" t="s">
        <v>2338</v>
      </c>
      <c r="F180" s="2507" t="s">
        <v>2282</v>
      </c>
      <c r="G180" s="2507" t="s">
        <v>28</v>
      </c>
      <c r="H180" s="2507" t="s">
        <v>28</v>
      </c>
      <c r="I180" s="2507" t="s">
        <v>908</v>
      </c>
    </row>
    <row r="181" spans="1:9" ht="11.25" customHeight="1">
      <c r="A181" s="2507" t="s">
        <v>2250</v>
      </c>
      <c r="B181" s="2507" t="s">
        <v>16</v>
      </c>
      <c r="C181" s="2507" t="s">
        <v>2339</v>
      </c>
      <c r="D181" s="2507" t="s">
        <v>2340</v>
      </c>
      <c r="E181" s="2507" t="s">
        <v>2341</v>
      </c>
      <c r="F181" s="2507" t="s">
        <v>2292</v>
      </c>
      <c r="G181" s="2507" t="s">
        <v>2342</v>
      </c>
      <c r="H181" s="2507" t="s">
        <v>28</v>
      </c>
      <c r="I181" s="2507" t="s">
        <v>908</v>
      </c>
    </row>
    <row r="182" spans="1:9" ht="11.25" customHeight="1">
      <c r="A182" s="2507" t="s">
        <v>2250</v>
      </c>
      <c r="B182" s="2507" t="s">
        <v>16</v>
      </c>
      <c r="C182" s="2507" t="s">
        <v>2343</v>
      </c>
      <c r="D182" s="2507" t="s">
        <v>2344</v>
      </c>
      <c r="E182" s="2507" t="s">
        <v>2345</v>
      </c>
      <c r="F182" s="2507" t="s">
        <v>2346</v>
      </c>
      <c r="G182" s="2507" t="s">
        <v>28</v>
      </c>
      <c r="H182" s="2507" t="s">
        <v>28</v>
      </c>
      <c r="I182" s="2507" t="s">
        <v>908</v>
      </c>
    </row>
    <row r="183" spans="1:9" ht="11.25" customHeight="1">
      <c r="A183" s="2507" t="s">
        <v>2250</v>
      </c>
      <c r="B183" s="2507" t="s">
        <v>16</v>
      </c>
      <c r="C183" s="2507" t="s">
        <v>2347</v>
      </c>
      <c r="D183" s="2507" t="s">
        <v>2348</v>
      </c>
      <c r="E183" s="2507" t="s">
        <v>2349</v>
      </c>
      <c r="F183" s="2507" t="s">
        <v>2350</v>
      </c>
      <c r="G183" s="2507" t="s">
        <v>28</v>
      </c>
      <c r="H183" s="2507" t="s">
        <v>28</v>
      </c>
      <c r="I183" s="2507" t="s">
        <v>908</v>
      </c>
    </row>
    <row r="184" spans="1:9" ht="11.25" customHeight="1">
      <c r="A184" s="2507" t="s">
        <v>2250</v>
      </c>
      <c r="B184" s="2507" t="s">
        <v>16</v>
      </c>
      <c r="C184" s="2507" t="s">
        <v>2351</v>
      </c>
      <c r="D184" s="2507" t="s">
        <v>2352</v>
      </c>
      <c r="E184" s="2507" t="s">
        <v>2353</v>
      </c>
      <c r="F184" s="2507" t="s">
        <v>2354</v>
      </c>
      <c r="G184" s="2507" t="s">
        <v>2355</v>
      </c>
      <c r="H184" s="2507" t="s">
        <v>28</v>
      </c>
      <c r="I184" s="2507" t="s">
        <v>908</v>
      </c>
    </row>
    <row r="185" spans="1:9" ht="11.25" customHeight="1">
      <c r="A185" s="2507" t="s">
        <v>2250</v>
      </c>
      <c r="B185" s="2507" t="s">
        <v>16</v>
      </c>
      <c r="C185" s="2507" t="s">
        <v>2356</v>
      </c>
      <c r="D185" s="2507" t="s">
        <v>2357</v>
      </c>
      <c r="E185" s="2507" t="s">
        <v>2358</v>
      </c>
      <c r="F185" s="2507" t="s">
        <v>2359</v>
      </c>
      <c r="G185" s="2507" t="s">
        <v>2360</v>
      </c>
      <c r="H185" s="2507" t="s">
        <v>28</v>
      </c>
      <c r="I185" s="2507" t="s">
        <v>908</v>
      </c>
    </row>
    <row r="186" spans="1:9" ht="11.25" customHeight="1">
      <c r="A186" s="2507" t="s">
        <v>2250</v>
      </c>
      <c r="B186" s="2507" t="s">
        <v>16</v>
      </c>
      <c r="C186" s="2507" t="s">
        <v>2361</v>
      </c>
      <c r="D186" s="2507" t="s">
        <v>2362</v>
      </c>
      <c r="E186" s="2507" t="s">
        <v>2329</v>
      </c>
      <c r="F186" s="2507" t="s">
        <v>2363</v>
      </c>
      <c r="G186" s="2507" t="s">
        <v>28</v>
      </c>
      <c r="H186" s="2507" t="s">
        <v>28</v>
      </c>
      <c r="I186" s="2507" t="s">
        <v>908</v>
      </c>
    </row>
    <row r="187" spans="1:9" ht="11.25" customHeight="1">
      <c r="A187" s="2507" t="s">
        <v>2250</v>
      </c>
      <c r="B187" s="2507" t="s">
        <v>16</v>
      </c>
      <c r="C187" s="2507" t="s">
        <v>2364</v>
      </c>
      <c r="D187" s="2507" t="s">
        <v>2365</v>
      </c>
      <c r="E187" s="2507" t="s">
        <v>2253</v>
      </c>
      <c r="F187" s="2507" t="s">
        <v>2325</v>
      </c>
      <c r="G187" s="2507" t="s">
        <v>28</v>
      </c>
      <c r="H187" s="2507" t="s">
        <v>28</v>
      </c>
      <c r="I187" s="2507" t="s">
        <v>908</v>
      </c>
    </row>
    <row r="188" spans="1:9" ht="11.25" customHeight="1">
      <c r="A188" s="2507" t="s">
        <v>2250</v>
      </c>
      <c r="B188" s="2507" t="s">
        <v>16</v>
      </c>
      <c r="C188" s="2507" t="s">
        <v>2372</v>
      </c>
      <c r="D188" s="2507" t="s">
        <v>2373</v>
      </c>
      <c r="E188" s="2507" t="s">
        <v>2374</v>
      </c>
      <c r="F188" s="2507" t="s">
        <v>2350</v>
      </c>
      <c r="G188" s="2507" t="s">
        <v>28</v>
      </c>
      <c r="H188" s="2507" t="s">
        <v>28</v>
      </c>
      <c r="I188" s="2507" t="s">
        <v>908</v>
      </c>
    </row>
    <row r="189" spans="1:9" ht="11.25" customHeight="1">
      <c r="A189" s="2507" t="s">
        <v>2250</v>
      </c>
      <c r="B189" s="2507" t="s">
        <v>16</v>
      </c>
      <c r="C189" s="2507" t="s">
        <v>2375</v>
      </c>
      <c r="D189" s="2507" t="s">
        <v>2376</v>
      </c>
      <c r="E189" s="2507" t="s">
        <v>2377</v>
      </c>
      <c r="F189" s="2507" t="s">
        <v>2378</v>
      </c>
      <c r="G189" s="2507" t="s">
        <v>2379</v>
      </c>
      <c r="H189" s="2507" t="s">
        <v>28</v>
      </c>
      <c r="I189" s="2507" t="s">
        <v>908</v>
      </c>
    </row>
    <row r="190" spans="1:9" ht="11.25" customHeight="1">
      <c r="A190" s="2507" t="s">
        <v>2250</v>
      </c>
      <c r="B190" s="2507" t="s">
        <v>16</v>
      </c>
      <c r="C190" s="2507" t="s">
        <v>2383</v>
      </c>
      <c r="D190" s="2507" t="s">
        <v>2384</v>
      </c>
      <c r="E190" s="2507" t="s">
        <v>2385</v>
      </c>
      <c r="F190" s="2507" t="s">
        <v>2271</v>
      </c>
      <c r="G190" s="2507" t="s">
        <v>28</v>
      </c>
      <c r="H190" s="2507" t="s">
        <v>28</v>
      </c>
      <c r="I190" s="2507" t="s">
        <v>908</v>
      </c>
    </row>
    <row r="191" spans="1:9" ht="11.25" customHeight="1">
      <c r="A191" s="2507" t="s">
        <v>2250</v>
      </c>
      <c r="B191" s="2507" t="s">
        <v>16</v>
      </c>
      <c r="C191" s="2507" t="s">
        <v>2390</v>
      </c>
      <c r="D191" s="2507" t="s">
        <v>2391</v>
      </c>
      <c r="E191" s="2507" t="s">
        <v>2392</v>
      </c>
      <c r="F191" s="2507" t="s">
        <v>2271</v>
      </c>
      <c r="G191" s="2507" t="s">
        <v>28</v>
      </c>
      <c r="H191" s="2507" t="s">
        <v>28</v>
      </c>
      <c r="I191" s="2507" t="s">
        <v>908</v>
      </c>
    </row>
    <row r="192" spans="1:9" ht="11.25" customHeight="1">
      <c r="A192" s="2507" t="s">
        <v>2250</v>
      </c>
      <c r="B192" s="2507" t="s">
        <v>16</v>
      </c>
      <c r="C192" s="2507" t="s">
        <v>2393</v>
      </c>
      <c r="D192" s="2507" t="s">
        <v>2394</v>
      </c>
      <c r="E192" s="2507" t="s">
        <v>2395</v>
      </c>
      <c r="F192" s="2507" t="s">
        <v>2396</v>
      </c>
      <c r="G192" s="2507" t="s">
        <v>28</v>
      </c>
      <c r="H192" s="2507" t="s">
        <v>28</v>
      </c>
      <c r="I192" s="2507" t="s">
        <v>908</v>
      </c>
    </row>
    <row r="193" spans="1:9" ht="11.25" customHeight="1">
      <c r="A193" s="2507" t="s">
        <v>2250</v>
      </c>
      <c r="B193" s="2507" t="s">
        <v>16</v>
      </c>
      <c r="C193" s="2507" t="s">
        <v>2397</v>
      </c>
      <c r="D193" s="2507" t="s">
        <v>2398</v>
      </c>
      <c r="E193" s="2507" t="s">
        <v>2329</v>
      </c>
      <c r="F193" s="2507" t="s">
        <v>2389</v>
      </c>
      <c r="G193" s="2507" t="s">
        <v>2399</v>
      </c>
      <c r="H193" s="2507" t="s">
        <v>28</v>
      </c>
      <c r="I193" s="2507" t="s">
        <v>908</v>
      </c>
    </row>
    <row r="194" spans="1:9" ht="11.25" customHeight="1">
      <c r="A194" s="2507" t="s">
        <v>2250</v>
      </c>
      <c r="B194" s="2507" t="s">
        <v>16</v>
      </c>
      <c r="C194" s="2507" t="s">
        <v>2408</v>
      </c>
      <c r="D194" s="2507" t="s">
        <v>2409</v>
      </c>
      <c r="E194" s="2507" t="s">
        <v>2410</v>
      </c>
      <c r="F194" s="2507" t="s">
        <v>2411</v>
      </c>
      <c r="G194" s="2507" t="s">
        <v>2412</v>
      </c>
      <c r="H194" s="2507" t="s">
        <v>28</v>
      </c>
      <c r="I194" s="2507" t="s">
        <v>908</v>
      </c>
    </row>
    <row r="195" spans="1:9" ht="11.25" customHeight="1">
      <c r="A195" s="2507" t="s">
        <v>2250</v>
      </c>
      <c r="B195" s="2507" t="s">
        <v>16</v>
      </c>
      <c r="C195" s="2507" t="s">
        <v>2413</v>
      </c>
      <c r="D195" s="2507" t="s">
        <v>2414</v>
      </c>
      <c r="E195" s="2507" t="s">
        <v>2415</v>
      </c>
      <c r="F195" s="2507" t="s">
        <v>2267</v>
      </c>
      <c r="G195" s="2507" t="s">
        <v>2303</v>
      </c>
      <c r="H195" s="2507" t="s">
        <v>28</v>
      </c>
      <c r="I195" s="2507" t="s">
        <v>908</v>
      </c>
    </row>
    <row r="196" spans="1:9" ht="11.25" customHeight="1">
      <c r="A196" s="2507" t="s">
        <v>2250</v>
      </c>
      <c r="B196" s="2507" t="s">
        <v>16</v>
      </c>
      <c r="C196" s="2507" t="s">
        <v>2424</v>
      </c>
      <c r="D196" s="2507" t="s">
        <v>2425</v>
      </c>
      <c r="E196" s="2507" t="s">
        <v>2426</v>
      </c>
      <c r="F196" s="2507" t="s">
        <v>51</v>
      </c>
      <c r="G196" s="2507" t="s">
        <v>28</v>
      </c>
      <c r="H196" s="2507" t="s">
        <v>28</v>
      </c>
      <c r="I196" s="2507" t="s">
        <v>908</v>
      </c>
    </row>
    <row r="197" spans="1:9" ht="11.25" customHeight="1">
      <c r="A197" s="2507" t="s">
        <v>2250</v>
      </c>
      <c r="B197" s="2507" t="s">
        <v>16</v>
      </c>
      <c r="C197" s="2507" t="s">
        <v>2447</v>
      </c>
      <c r="D197" s="2507" t="s">
        <v>2448</v>
      </c>
      <c r="E197" s="2507" t="s">
        <v>2449</v>
      </c>
      <c r="F197" s="2507" t="s">
        <v>2440</v>
      </c>
      <c r="G197" s="2507" t="s">
        <v>28</v>
      </c>
      <c r="H197" s="2507" t="s">
        <v>28</v>
      </c>
      <c r="I197" s="2507" t="s">
        <v>908</v>
      </c>
    </row>
    <row r="198" spans="1:9" ht="11.25" customHeight="1">
      <c r="A198" s="2507" t="s">
        <v>2250</v>
      </c>
      <c r="B198" s="2507" t="s">
        <v>16</v>
      </c>
      <c r="C198" s="2507" t="s">
        <v>2455</v>
      </c>
      <c r="D198" s="2507" t="s">
        <v>2456</v>
      </c>
      <c r="E198" s="2507" t="s">
        <v>2457</v>
      </c>
      <c r="F198" s="2507" t="s">
        <v>2458</v>
      </c>
      <c r="G198" s="2507" t="s">
        <v>2459</v>
      </c>
      <c r="H198" s="2507" t="s">
        <v>28</v>
      </c>
      <c r="I198" s="2507" t="s">
        <v>908</v>
      </c>
    </row>
    <row r="199" spans="1:9" ht="11.25" customHeight="1">
      <c r="A199" s="2507" t="s">
        <v>2250</v>
      </c>
      <c r="B199" s="2507" t="s">
        <v>16</v>
      </c>
      <c r="C199" s="2507" t="s">
        <v>2460</v>
      </c>
      <c r="D199" s="2507" t="s">
        <v>2461</v>
      </c>
      <c r="E199" s="2507" t="s">
        <v>2462</v>
      </c>
      <c r="F199" s="2507" t="s">
        <v>2463</v>
      </c>
      <c r="G199" s="2507" t="s">
        <v>28</v>
      </c>
      <c r="H199" s="2507" t="s">
        <v>28</v>
      </c>
      <c r="I199" s="2507" t="s">
        <v>908</v>
      </c>
    </row>
    <row r="200" spans="1:9" ht="11.25" customHeight="1">
      <c r="A200" s="2507" t="s">
        <v>2250</v>
      </c>
      <c r="B200" s="2507" t="s">
        <v>16</v>
      </c>
      <c r="C200" s="2507" t="s">
        <v>2470</v>
      </c>
      <c r="D200" s="2507" t="s">
        <v>2471</v>
      </c>
      <c r="E200" s="2507" t="s">
        <v>2472</v>
      </c>
      <c r="F200" s="2507" t="s">
        <v>2463</v>
      </c>
      <c r="G200" s="2507" t="s">
        <v>28</v>
      </c>
      <c r="H200" s="2507" t="s">
        <v>28</v>
      </c>
      <c r="I200" s="2507" t="s">
        <v>908</v>
      </c>
    </row>
    <row r="201" spans="1:9" ht="11.25" customHeight="1">
      <c r="A201" s="2507" t="s">
        <v>2250</v>
      </c>
      <c r="B201" s="2507" t="s">
        <v>16</v>
      </c>
      <c r="C201" s="2507" t="s">
        <v>2483</v>
      </c>
      <c r="D201" s="2507" t="s">
        <v>2484</v>
      </c>
      <c r="E201" s="2507" t="s">
        <v>2345</v>
      </c>
      <c r="F201" s="2507" t="s">
        <v>2485</v>
      </c>
      <c r="G201" s="2507" t="s">
        <v>28</v>
      </c>
      <c r="H201" s="2507" t="s">
        <v>28</v>
      </c>
      <c r="I201" s="2507" t="s">
        <v>908</v>
      </c>
    </row>
    <row r="202" spans="1:9" ht="11.25" customHeight="1">
      <c r="A202" s="2507" t="s">
        <v>2250</v>
      </c>
      <c r="B202" s="2507" t="s">
        <v>16</v>
      </c>
      <c r="C202" s="2507" t="s">
        <v>2486</v>
      </c>
      <c r="D202" s="2507" t="s">
        <v>2487</v>
      </c>
      <c r="E202" s="2507" t="s">
        <v>2345</v>
      </c>
      <c r="F202" s="2507" t="s">
        <v>2488</v>
      </c>
      <c r="G202" s="2507" t="s">
        <v>28</v>
      </c>
      <c r="H202" s="2507" t="s">
        <v>28</v>
      </c>
      <c r="I202" s="2507" t="s">
        <v>908</v>
      </c>
    </row>
    <row r="203" spans="1:9" ht="11.25" customHeight="1">
      <c r="A203" s="2507" t="s">
        <v>2250</v>
      </c>
      <c r="B203" s="2507" t="s">
        <v>16</v>
      </c>
      <c r="C203" s="2507" t="s">
        <v>2489</v>
      </c>
      <c r="D203" s="2507" t="s">
        <v>2490</v>
      </c>
      <c r="E203" s="2507" t="s">
        <v>2329</v>
      </c>
      <c r="F203" s="2507" t="s">
        <v>2396</v>
      </c>
      <c r="G203" s="2507" t="s">
        <v>28</v>
      </c>
      <c r="H203" s="2507" t="s">
        <v>28</v>
      </c>
      <c r="I203" s="2507" t="s">
        <v>908</v>
      </c>
    </row>
    <row r="204" spans="1:9" ht="11.25" customHeight="1">
      <c r="A204" s="2507" t="s">
        <v>2250</v>
      </c>
      <c r="B204" s="2507" t="s">
        <v>16</v>
      </c>
      <c r="C204" s="2507" t="s">
        <v>2491</v>
      </c>
      <c r="D204" s="2507" t="s">
        <v>2492</v>
      </c>
      <c r="E204" s="2507" t="s">
        <v>2493</v>
      </c>
      <c r="F204" s="2507" t="s">
        <v>2494</v>
      </c>
      <c r="G204" s="2507" t="s">
        <v>28</v>
      </c>
      <c r="H204" s="2507" t="s">
        <v>28</v>
      </c>
      <c r="I204" s="2507" t="s">
        <v>908</v>
      </c>
    </row>
    <row r="205" spans="1:9" ht="11.25" customHeight="1">
      <c r="A205" s="2507" t="s">
        <v>2250</v>
      </c>
      <c r="B205" s="2507" t="s">
        <v>16</v>
      </c>
      <c r="C205" s="2507" t="s">
        <v>2495</v>
      </c>
      <c r="D205" s="2507" t="s">
        <v>2496</v>
      </c>
      <c r="E205" s="2507" t="s">
        <v>2497</v>
      </c>
      <c r="F205" s="2507" t="s">
        <v>2498</v>
      </c>
      <c r="G205" s="2507" t="s">
        <v>28</v>
      </c>
      <c r="H205" s="2507" t="s">
        <v>28</v>
      </c>
      <c r="I205" s="2507" t="s">
        <v>908</v>
      </c>
    </row>
    <row r="206" spans="1:9" ht="11.25" customHeight="1">
      <c r="A206" s="2507" t="s">
        <v>2250</v>
      </c>
      <c r="B206" s="2507" t="s">
        <v>16</v>
      </c>
      <c r="C206" s="2507" t="s">
        <v>2499</v>
      </c>
      <c r="D206" s="2507" t="s">
        <v>2500</v>
      </c>
      <c r="E206" s="2507" t="s">
        <v>2358</v>
      </c>
      <c r="F206" s="2507" t="s">
        <v>2482</v>
      </c>
      <c r="G206" s="2507" t="s">
        <v>2469</v>
      </c>
      <c r="H206" s="2507" t="s">
        <v>28</v>
      </c>
      <c r="I206" s="2507" t="s">
        <v>908</v>
      </c>
    </row>
    <row r="207" spans="1:9" ht="11.25" customHeight="1">
      <c r="A207" s="2507" t="s">
        <v>2250</v>
      </c>
      <c r="B207" s="2507" t="s">
        <v>16</v>
      </c>
      <c r="C207" s="2507" t="s">
        <v>2501</v>
      </c>
      <c r="D207" s="2507" t="s">
        <v>2502</v>
      </c>
      <c r="E207" s="2507" t="s">
        <v>2503</v>
      </c>
      <c r="F207" s="2507" t="s">
        <v>2504</v>
      </c>
      <c r="G207" s="2507" t="s">
        <v>2505</v>
      </c>
      <c r="H207" s="2507" t="s">
        <v>28</v>
      </c>
      <c r="I207" s="2507" t="s">
        <v>908</v>
      </c>
    </row>
    <row r="208" spans="1:9" ht="11.25" customHeight="1">
      <c r="A208" s="2507" t="s">
        <v>2250</v>
      </c>
      <c r="B208" s="2507" t="s">
        <v>16</v>
      </c>
      <c r="C208" s="2507" t="s">
        <v>2512</v>
      </c>
      <c r="D208" s="2507" t="s">
        <v>2513</v>
      </c>
      <c r="E208" s="2507" t="s">
        <v>2345</v>
      </c>
      <c r="F208" s="2507" t="s">
        <v>2514</v>
      </c>
      <c r="G208" s="2507" t="s">
        <v>28</v>
      </c>
      <c r="H208" s="2507" t="s">
        <v>28</v>
      </c>
      <c r="I208" s="2507" t="s">
        <v>908</v>
      </c>
    </row>
    <row r="209" spans="1:9" ht="11.25" customHeight="1">
      <c r="A209" s="2507" t="s">
        <v>2250</v>
      </c>
      <c r="B209" s="2507" t="s">
        <v>16</v>
      </c>
      <c r="C209" s="2507" t="s">
        <v>2515</v>
      </c>
      <c r="D209" s="2507" t="s">
        <v>2516</v>
      </c>
      <c r="E209" s="2507" t="s">
        <v>2497</v>
      </c>
      <c r="F209" s="2507" t="s">
        <v>2517</v>
      </c>
      <c r="G209" s="2507" t="s">
        <v>28</v>
      </c>
      <c r="H209" s="2507" t="s">
        <v>28</v>
      </c>
      <c r="I209" s="2507" t="s">
        <v>908</v>
      </c>
    </row>
    <row r="210" spans="1:9" ht="11.25" customHeight="1">
      <c r="A210" s="2507" t="s">
        <v>2250</v>
      </c>
      <c r="B210" s="2507" t="s">
        <v>16</v>
      </c>
      <c r="C210" s="2507" t="s">
        <v>2547</v>
      </c>
      <c r="D210" s="2507" t="s">
        <v>2548</v>
      </c>
      <c r="E210" s="2507" t="s">
        <v>2549</v>
      </c>
      <c r="F210" s="2507" t="s">
        <v>2267</v>
      </c>
      <c r="G210" s="2507" t="s">
        <v>28</v>
      </c>
      <c r="H210" s="2507" t="s">
        <v>28</v>
      </c>
      <c r="I210" s="2507" t="s">
        <v>1622</v>
      </c>
    </row>
    <row r="211" spans="1:9" ht="11.25" customHeight="1">
      <c r="A211" s="2507" t="s">
        <v>2250</v>
      </c>
      <c r="B211" s="2507" t="s">
        <v>16</v>
      </c>
      <c r="C211" s="2507" t="s">
        <v>2550</v>
      </c>
      <c r="D211" s="2507" t="s">
        <v>2551</v>
      </c>
      <c r="E211" s="2507" t="s">
        <v>2552</v>
      </c>
      <c r="F211" s="2507" t="s">
        <v>2271</v>
      </c>
      <c r="G211" s="2507" t="s">
        <v>2553</v>
      </c>
      <c r="H211" s="2507" t="s">
        <v>28</v>
      </c>
      <c r="I211" s="2507" t="s">
        <v>1622</v>
      </c>
    </row>
    <row r="212" spans="1:9" ht="11.25" customHeight="1">
      <c r="A212" s="2507" t="s">
        <v>2250</v>
      </c>
      <c r="B212" s="2507" t="s">
        <v>16</v>
      </c>
      <c r="C212" s="2507" t="s">
        <v>2554</v>
      </c>
      <c r="D212" s="2507" t="s">
        <v>2555</v>
      </c>
      <c r="E212" s="2507" t="s">
        <v>2556</v>
      </c>
      <c r="F212" s="2507" t="s">
        <v>2282</v>
      </c>
      <c r="G212" s="2507" t="s">
        <v>28</v>
      </c>
      <c r="H212" s="2507" t="s">
        <v>28</v>
      </c>
      <c r="I212" s="2507" t="s">
        <v>1622</v>
      </c>
    </row>
    <row r="213" spans="1:9" ht="11.25" customHeight="1">
      <c r="A213" s="2507" t="s">
        <v>2250</v>
      </c>
      <c r="B213" s="2507" t="s">
        <v>16</v>
      </c>
      <c r="C213" s="2507" t="s">
        <v>28</v>
      </c>
      <c r="D213" s="2507" t="s">
        <v>2337</v>
      </c>
      <c r="E213" s="2507" t="s">
        <v>2338</v>
      </c>
      <c r="F213" s="2507" t="s">
        <v>2282</v>
      </c>
      <c r="G213" s="2507" t="s">
        <v>28</v>
      </c>
      <c r="H213" s="2507" t="s">
        <v>28</v>
      </c>
      <c r="I213" s="2507" t="s">
        <v>1622</v>
      </c>
    </row>
    <row r="214" spans="1:9" ht="11.25" customHeight="1">
      <c r="A214" s="2507" t="s">
        <v>2250</v>
      </c>
      <c r="B214" s="2507" t="s">
        <v>16</v>
      </c>
      <c r="C214" s="2507" t="s">
        <v>2557</v>
      </c>
      <c r="D214" s="2507" t="s">
        <v>2558</v>
      </c>
      <c r="E214" s="2507" t="s">
        <v>2559</v>
      </c>
      <c r="F214" s="2507" t="s">
        <v>2440</v>
      </c>
      <c r="G214" s="2507" t="s">
        <v>2560</v>
      </c>
      <c r="H214" s="2507" t="s">
        <v>28</v>
      </c>
      <c r="I214" s="2507" t="s">
        <v>1622</v>
      </c>
    </row>
    <row r="215" spans="1:9" ht="11.25" customHeight="1">
      <c r="A215" s="2507" t="s">
        <v>2250</v>
      </c>
      <c r="B215" s="2507" t="s">
        <v>16</v>
      </c>
      <c r="C215" s="2507" t="s">
        <v>2351</v>
      </c>
      <c r="D215" s="2507" t="s">
        <v>2352</v>
      </c>
      <c r="E215" s="2507" t="s">
        <v>2353</v>
      </c>
      <c r="F215" s="2507" t="s">
        <v>2354</v>
      </c>
      <c r="G215" s="2507" t="s">
        <v>2355</v>
      </c>
      <c r="H215" s="2507" t="s">
        <v>28</v>
      </c>
      <c r="I215" s="2507" t="s">
        <v>1622</v>
      </c>
    </row>
    <row r="216" spans="1:9" ht="11.25" customHeight="1">
      <c r="A216" s="2507" t="s">
        <v>2250</v>
      </c>
      <c r="B216" s="2507" t="s">
        <v>16</v>
      </c>
      <c r="C216" s="2507" t="s">
        <v>2561</v>
      </c>
      <c r="D216" s="2507" t="s">
        <v>2562</v>
      </c>
      <c r="E216" s="2507" t="s">
        <v>2563</v>
      </c>
      <c r="F216" s="2507" t="s">
        <v>51</v>
      </c>
      <c r="G216" s="2507" t="s">
        <v>2412</v>
      </c>
      <c r="H216" s="2507" t="s">
        <v>28</v>
      </c>
      <c r="I216" s="2507" t="s">
        <v>1622</v>
      </c>
    </row>
    <row r="217" spans="1:9" ht="11.25" customHeight="1">
      <c r="A217" s="2507" t="s">
        <v>2250</v>
      </c>
      <c r="B217" s="2507" t="s">
        <v>16</v>
      </c>
      <c r="C217" s="2507" t="s">
        <v>2528</v>
      </c>
      <c r="D217" s="2507" t="s">
        <v>2529</v>
      </c>
      <c r="E217" s="2507" t="s">
        <v>2530</v>
      </c>
      <c r="F217" s="2507" t="s">
        <v>2271</v>
      </c>
      <c r="G217" s="2507" t="s">
        <v>28</v>
      </c>
      <c r="H217" s="2507" t="s">
        <v>28</v>
      </c>
      <c r="I217" s="2507" t="s">
        <v>1622</v>
      </c>
    </row>
    <row r="218" spans="1:9" ht="11.25" customHeight="1">
      <c r="A218" s="2507" t="s">
        <v>2250</v>
      </c>
      <c r="B218" s="2507" t="s">
        <v>16</v>
      </c>
      <c r="C218" s="2507" t="s">
        <v>2564</v>
      </c>
      <c r="D218" s="2507" t="s">
        <v>2565</v>
      </c>
      <c r="E218" s="2507" t="s">
        <v>2566</v>
      </c>
      <c r="F218" s="2507" t="s">
        <v>2440</v>
      </c>
      <c r="G218" s="2507" t="s">
        <v>2567</v>
      </c>
      <c r="H218" s="2507" t="s">
        <v>28</v>
      </c>
      <c r="I218" s="2507" t="s">
        <v>1622</v>
      </c>
    </row>
    <row r="219" spans="1:9" ht="11.25" customHeight="1">
      <c r="A219" s="2507" t="s">
        <v>2250</v>
      </c>
      <c r="B219" s="2507" t="s">
        <v>16</v>
      </c>
      <c r="C219" s="2507" t="s">
        <v>2375</v>
      </c>
      <c r="D219" s="2507" t="s">
        <v>2376</v>
      </c>
      <c r="E219" s="2507" t="s">
        <v>2377</v>
      </c>
      <c r="F219" s="2507" t="s">
        <v>2378</v>
      </c>
      <c r="G219" s="2507" t="s">
        <v>2379</v>
      </c>
      <c r="H219" s="2507" t="s">
        <v>28</v>
      </c>
      <c r="I219" s="2507" t="s">
        <v>1622</v>
      </c>
    </row>
    <row r="220" spans="1:9" ht="11.25" customHeight="1">
      <c r="A220" s="2507" t="s">
        <v>2250</v>
      </c>
      <c r="B220" s="2507" t="s">
        <v>16</v>
      </c>
      <c r="C220" s="2507" t="s">
        <v>2383</v>
      </c>
      <c r="D220" s="2507" t="s">
        <v>2384</v>
      </c>
      <c r="E220" s="2507" t="s">
        <v>2385</v>
      </c>
      <c r="F220" s="2507" t="s">
        <v>2271</v>
      </c>
      <c r="G220" s="2507" t="s">
        <v>28</v>
      </c>
      <c r="H220" s="2507" t="s">
        <v>28</v>
      </c>
      <c r="I220" s="2507" t="s">
        <v>1622</v>
      </c>
    </row>
    <row r="221" spans="1:9" ht="11.25" customHeight="1">
      <c r="A221" s="2507" t="s">
        <v>2250</v>
      </c>
      <c r="B221" s="2507" t="s">
        <v>16</v>
      </c>
      <c r="C221" s="2507" t="s">
        <v>2568</v>
      </c>
      <c r="D221" s="2507" t="s">
        <v>2569</v>
      </c>
      <c r="E221" s="2507" t="s">
        <v>2570</v>
      </c>
      <c r="F221" s="2507" t="s">
        <v>2271</v>
      </c>
      <c r="G221" s="2507" t="s">
        <v>28</v>
      </c>
      <c r="H221" s="2507" t="s">
        <v>28</v>
      </c>
      <c r="I221" s="2507" t="s">
        <v>1622</v>
      </c>
    </row>
    <row r="222" spans="1:9" ht="11.25" customHeight="1">
      <c r="A222" s="2507" t="s">
        <v>2250</v>
      </c>
      <c r="B222" s="2507" t="s">
        <v>16</v>
      </c>
      <c r="C222" s="2507" t="s">
        <v>2571</v>
      </c>
      <c r="D222" s="2507" t="s">
        <v>2572</v>
      </c>
      <c r="E222" s="2507" t="s">
        <v>2573</v>
      </c>
      <c r="F222" s="2507" t="s">
        <v>2574</v>
      </c>
      <c r="G222" s="2507" t="s">
        <v>2575</v>
      </c>
      <c r="H222" s="2507" t="s">
        <v>28</v>
      </c>
      <c r="I222" s="2507" t="s">
        <v>1622</v>
      </c>
    </row>
    <row r="223" spans="1:9" ht="11.25" customHeight="1">
      <c r="A223" s="2507" t="s">
        <v>2250</v>
      </c>
      <c r="B223" s="2507" t="s">
        <v>16</v>
      </c>
      <c r="C223" s="2507" t="s">
        <v>2576</v>
      </c>
      <c r="D223" s="2507" t="s">
        <v>2577</v>
      </c>
      <c r="E223" s="2507" t="s">
        <v>2578</v>
      </c>
      <c r="F223" s="2507" t="s">
        <v>2282</v>
      </c>
      <c r="G223" s="2507" t="s">
        <v>2579</v>
      </c>
      <c r="H223" s="2507" t="s">
        <v>28</v>
      </c>
      <c r="I223" s="2507" t="s">
        <v>1622</v>
      </c>
    </row>
    <row r="224" spans="1:9" ht="11.25" customHeight="1">
      <c r="A224" s="2507" t="s">
        <v>2250</v>
      </c>
      <c r="B224" s="2507" t="s">
        <v>16</v>
      </c>
      <c r="C224" s="2507" t="s">
        <v>2580</v>
      </c>
      <c r="D224" s="2507" t="s">
        <v>2581</v>
      </c>
      <c r="E224" s="2507" t="s">
        <v>2582</v>
      </c>
      <c r="F224" s="2507" t="s">
        <v>2574</v>
      </c>
      <c r="G224" s="2507" t="s">
        <v>28</v>
      </c>
      <c r="H224" s="2507" t="s">
        <v>28</v>
      </c>
      <c r="I224" s="2507" t="s">
        <v>1622</v>
      </c>
    </row>
    <row r="225" spans="1:9" ht="11.25" customHeight="1">
      <c r="A225" s="2507" t="s">
        <v>2250</v>
      </c>
      <c r="B225" s="2507" t="s">
        <v>16</v>
      </c>
      <c r="C225" s="2507" t="s">
        <v>2583</v>
      </c>
      <c r="D225" s="2507" t="s">
        <v>2584</v>
      </c>
      <c r="E225" s="2507" t="s">
        <v>2497</v>
      </c>
      <c r="F225" s="2507" t="s">
        <v>2267</v>
      </c>
      <c r="G225" s="2507" t="s">
        <v>2585</v>
      </c>
      <c r="H225" s="2507" t="s">
        <v>28</v>
      </c>
      <c r="I225" s="2507" t="s">
        <v>1622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4"/>
  <sheetViews>
    <sheetView showGridLines="0" workbookViewId="0"/>
  </sheetViews>
  <sheetFormatPr defaultRowHeight="11.25" customHeight="1"/>
  <cols>
    <col min="1" max="1" width="9.140625" style="2523"/>
  </cols>
  <sheetData>
    <row r="1" spans="1:7" ht="11.25" customHeight="1">
      <c r="A1" s="308" t="s">
        <v>2586</v>
      </c>
      <c r="B1" s="2" t="s">
        <v>2587</v>
      </c>
      <c r="C1" s="2" t="s">
        <v>2588</v>
      </c>
      <c r="D1" s="2" t="s">
        <v>2589</v>
      </c>
      <c r="E1" s="1" t="s">
        <v>2590</v>
      </c>
      <c r="F1" s="1" t="s">
        <v>2591</v>
      </c>
      <c r="G1" s="1" t="s">
        <v>2592</v>
      </c>
    </row>
    <row r="2" spans="1:7" ht="11.25" customHeight="1">
      <c r="A2" s="308" t="s">
        <v>16</v>
      </c>
      <c r="B2" t="s">
        <v>2593</v>
      </c>
      <c r="C2" t="s">
        <v>2594</v>
      </c>
      <c r="D2" t="s">
        <v>2593</v>
      </c>
      <c r="E2" t="s">
        <v>2594</v>
      </c>
      <c r="F2" t="s">
        <v>2595</v>
      </c>
      <c r="G2" t="s">
        <v>108</v>
      </c>
    </row>
    <row r="3" spans="1:7" ht="11.25" customHeight="1">
      <c r="A3" s="308" t="s">
        <v>16</v>
      </c>
      <c r="B3" t="s">
        <v>2596</v>
      </c>
      <c r="C3" t="s">
        <v>2597</v>
      </c>
      <c r="D3" t="s">
        <v>2596</v>
      </c>
      <c r="E3" t="s">
        <v>2597</v>
      </c>
      <c r="F3" t="s">
        <v>2595</v>
      </c>
      <c r="G3" t="s">
        <v>109</v>
      </c>
    </row>
    <row r="4" spans="1:7" ht="11.25" customHeight="1">
      <c r="A4" s="308" t="s">
        <v>16</v>
      </c>
      <c r="B4" t="s">
        <v>2598</v>
      </c>
      <c r="C4" t="s">
        <v>2599</v>
      </c>
      <c r="D4" t="s">
        <v>2598</v>
      </c>
      <c r="E4" t="s">
        <v>2599</v>
      </c>
      <c r="F4" t="s">
        <v>2595</v>
      </c>
      <c r="G4" t="s">
        <v>89</v>
      </c>
    </row>
    <row r="5" spans="1:7" ht="11.25" customHeight="1">
      <c r="A5" s="308" t="s">
        <v>16</v>
      </c>
      <c r="B5" t="s">
        <v>2600</v>
      </c>
      <c r="C5" t="s">
        <v>2601</v>
      </c>
      <c r="D5" t="s">
        <v>2600</v>
      </c>
      <c r="E5" t="s">
        <v>2601</v>
      </c>
      <c r="F5" t="s">
        <v>2595</v>
      </c>
      <c r="G5" t="s">
        <v>90</v>
      </c>
    </row>
    <row r="6" spans="1:7" ht="11.25" customHeight="1">
      <c r="A6" s="308" t="s">
        <v>16</v>
      </c>
      <c r="B6" t="s">
        <v>2602</v>
      </c>
      <c r="C6" t="s">
        <v>2603</v>
      </c>
      <c r="D6" t="s">
        <v>2602</v>
      </c>
      <c r="E6" t="s">
        <v>2603</v>
      </c>
      <c r="F6" t="s">
        <v>2595</v>
      </c>
      <c r="G6" t="s">
        <v>110</v>
      </c>
    </row>
    <row r="7" spans="1:7" ht="11.25" customHeight="1">
      <c r="A7" s="308" t="s">
        <v>16</v>
      </c>
      <c r="B7" t="s">
        <v>2604</v>
      </c>
      <c r="C7" t="s">
        <v>2605</v>
      </c>
      <c r="D7" t="s">
        <v>2604</v>
      </c>
      <c r="E7" t="s">
        <v>2605</v>
      </c>
      <c r="F7" t="s">
        <v>2595</v>
      </c>
      <c r="G7" t="s">
        <v>91</v>
      </c>
    </row>
    <row r="8" spans="1:7" ht="11.25" customHeight="1">
      <c r="A8" s="308" t="s">
        <v>16</v>
      </c>
      <c r="B8" t="s">
        <v>2606</v>
      </c>
      <c r="C8" t="s">
        <v>2607</v>
      </c>
      <c r="D8" t="s">
        <v>2606</v>
      </c>
      <c r="E8" t="s">
        <v>2607</v>
      </c>
      <c r="F8" t="s">
        <v>2595</v>
      </c>
      <c r="G8" t="s">
        <v>92</v>
      </c>
    </row>
    <row r="9" spans="1:7" ht="11.25" customHeight="1">
      <c r="A9" s="308" t="s">
        <v>16</v>
      </c>
      <c r="B9" t="s">
        <v>2608</v>
      </c>
      <c r="C9" t="s">
        <v>2609</v>
      </c>
      <c r="D9" t="s">
        <v>2608</v>
      </c>
      <c r="E9" t="s">
        <v>2609</v>
      </c>
      <c r="F9" t="s">
        <v>2610</v>
      </c>
      <c r="G9" t="s">
        <v>111</v>
      </c>
    </row>
    <row r="10" spans="1:7" ht="11.25" customHeight="1">
      <c r="A10" s="308" t="s">
        <v>16</v>
      </c>
      <c r="B10" t="s">
        <v>2611</v>
      </c>
      <c r="C10" t="s">
        <v>2612</v>
      </c>
      <c r="D10" t="s">
        <v>2611</v>
      </c>
      <c r="E10" t="s">
        <v>2612</v>
      </c>
      <c r="F10" t="s">
        <v>2610</v>
      </c>
      <c r="G10" t="s">
        <v>147</v>
      </c>
    </row>
    <row r="11" spans="1:7" ht="11.25" customHeight="1">
      <c r="A11" s="308" t="s">
        <v>16</v>
      </c>
      <c r="B11" t="s">
        <v>2613</v>
      </c>
      <c r="C11" t="s">
        <v>2614</v>
      </c>
      <c r="D11" t="s">
        <v>2613</v>
      </c>
      <c r="E11" t="s">
        <v>2614</v>
      </c>
      <c r="F11" t="s">
        <v>2610</v>
      </c>
      <c r="G11" t="s">
        <v>148</v>
      </c>
    </row>
    <row r="12" spans="1:7" ht="11.25" customHeight="1">
      <c r="A12" s="308" t="s">
        <v>16</v>
      </c>
      <c r="B12" t="s">
        <v>2615</v>
      </c>
      <c r="C12" t="s">
        <v>2616</v>
      </c>
      <c r="D12" t="s">
        <v>2615</v>
      </c>
      <c r="E12" t="s">
        <v>2616</v>
      </c>
      <c r="F12" t="s">
        <v>2610</v>
      </c>
      <c r="G12" t="s">
        <v>149</v>
      </c>
    </row>
    <row r="13" spans="1:7" ht="11.25" customHeight="1">
      <c r="A13" s="308" t="s">
        <v>16</v>
      </c>
      <c r="B13" t="s">
        <v>99</v>
      </c>
      <c r="C13" t="s">
        <v>100</v>
      </c>
      <c r="D13" t="s">
        <v>99</v>
      </c>
      <c r="E13" t="s">
        <v>100</v>
      </c>
      <c r="F13" t="s">
        <v>2610</v>
      </c>
      <c r="G13" t="s">
        <v>98</v>
      </c>
    </row>
    <row r="14" spans="1:7" ht="11.25" customHeight="1">
      <c r="A14" s="308" t="s">
        <v>16</v>
      </c>
      <c r="B14" t="s">
        <v>2617</v>
      </c>
      <c r="C14" t="s">
        <v>2618</v>
      </c>
      <c r="D14" t="s">
        <v>2617</v>
      </c>
      <c r="E14" t="s">
        <v>2618</v>
      </c>
      <c r="F14" t="s">
        <v>2610</v>
      </c>
      <c r="G14" t="s">
        <v>150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3"/>
  <sheetViews>
    <sheetView showGridLines="0" workbookViewId="0"/>
  </sheetViews>
  <sheetFormatPr defaultColWidth="9.140625" defaultRowHeight="11.25" customHeight="1"/>
  <cols>
    <col min="1" max="1" width="13.85546875" style="2588" customWidth="1"/>
    <col min="2" max="2" width="10.42578125" style="2588" customWidth="1"/>
    <col min="3" max="3" width="7.5703125" style="2588" customWidth="1"/>
    <col min="4" max="4" width="13.85546875" style="2588" customWidth="1"/>
    <col min="5" max="5" width="11.5703125" style="2588" customWidth="1"/>
    <col min="6" max="6" width="16.28515625" style="2588" customWidth="1"/>
    <col min="7" max="7" width="16" style="2588" customWidth="1"/>
    <col min="8" max="9" width="16.140625" style="2588" customWidth="1"/>
  </cols>
  <sheetData>
    <row r="1" spans="1:9" ht="11.25" customHeight="1">
      <c r="A1" s="764" t="s">
        <v>2619</v>
      </c>
      <c r="B1" s="764" t="s">
        <v>2620</v>
      </c>
      <c r="C1" s="1077" t="s">
        <v>2621</v>
      </c>
      <c r="D1" s="764" t="s">
        <v>2622</v>
      </c>
      <c r="E1" s="764" t="s">
        <v>2623</v>
      </c>
      <c r="F1" s="1077" t="s">
        <v>2624</v>
      </c>
      <c r="G1" s="1077" t="s">
        <v>2625</v>
      </c>
      <c r="H1" s="1077" t="s">
        <v>2626</v>
      </c>
      <c r="I1" s="1077" t="s">
        <v>2627</v>
      </c>
    </row>
    <row r="2" spans="1:9" ht="11.25" customHeight="1">
      <c r="A2" s="2508" t="s">
        <v>108</v>
      </c>
      <c r="B2" s="2508" t="s">
        <v>2628</v>
      </c>
      <c r="C2" s="2508" t="s">
        <v>28</v>
      </c>
      <c r="D2" s="2508" t="s">
        <v>2629</v>
      </c>
      <c r="E2" s="2508" t="s">
        <v>2630</v>
      </c>
      <c r="F2" s="2508" t="s">
        <v>28</v>
      </c>
      <c r="G2" s="2508" t="s">
        <v>28</v>
      </c>
      <c r="H2" s="2508" t="s">
        <v>28</v>
      </c>
      <c r="I2" s="2508" t="s">
        <v>28</v>
      </c>
    </row>
    <row r="3" spans="1:9" ht="11.25" customHeight="1">
      <c r="A3" s="2508" t="s">
        <v>109</v>
      </c>
      <c r="B3" s="2508" t="s">
        <v>2631</v>
      </c>
      <c r="C3" s="2508" t="s">
        <v>28</v>
      </c>
      <c r="D3" s="2508" t="s">
        <v>2632</v>
      </c>
      <c r="E3" s="2508" t="s">
        <v>2633</v>
      </c>
      <c r="F3" s="2508" t="s">
        <v>28</v>
      </c>
      <c r="G3" s="2508" t="s">
        <v>28</v>
      </c>
      <c r="H3" s="2508" t="s">
        <v>28</v>
      </c>
      <c r="I3" s="2508" t="s">
        <v>28</v>
      </c>
    </row>
    <row r="4" spans="1:9" ht="11.25" customHeight="1">
      <c r="A4" s="2508" t="s">
        <v>89</v>
      </c>
      <c r="B4" s="2508" t="s">
        <v>2634</v>
      </c>
      <c r="C4" s="2508" t="s">
        <v>28</v>
      </c>
      <c r="D4" s="2508" t="s">
        <v>2635</v>
      </c>
      <c r="E4" s="2508" t="s">
        <v>2636</v>
      </c>
      <c r="F4" s="2508" t="s">
        <v>28</v>
      </c>
      <c r="G4" s="2508" t="s">
        <v>28</v>
      </c>
      <c r="H4" s="2508" t="s">
        <v>28</v>
      </c>
      <c r="I4" s="2508" t="s">
        <v>28</v>
      </c>
    </row>
    <row r="5" spans="1:9" ht="11.25" customHeight="1">
      <c r="A5" s="2508" t="s">
        <v>90</v>
      </c>
      <c r="B5" s="2508" t="s">
        <v>2637</v>
      </c>
      <c r="C5" s="2508" t="s">
        <v>28</v>
      </c>
      <c r="D5" s="2508" t="s">
        <v>2632</v>
      </c>
      <c r="E5" s="2508" t="s">
        <v>2630</v>
      </c>
      <c r="F5" s="2508" t="s">
        <v>28</v>
      </c>
      <c r="G5" s="2508" t="s">
        <v>28</v>
      </c>
      <c r="H5" s="2508" t="s">
        <v>28</v>
      </c>
      <c r="I5" s="2508" t="s">
        <v>28</v>
      </c>
    </row>
    <row r="6" spans="1:9" ht="11.25" customHeight="1">
      <c r="A6" s="2508" t="s">
        <v>110</v>
      </c>
      <c r="B6" s="2508" t="s">
        <v>2638</v>
      </c>
      <c r="C6" s="2508" t="s">
        <v>28</v>
      </c>
      <c r="D6" s="2508" t="s">
        <v>2639</v>
      </c>
      <c r="E6" s="2508" t="s">
        <v>2640</v>
      </c>
      <c r="F6" s="2508" t="s">
        <v>28</v>
      </c>
      <c r="G6" s="2508" t="s">
        <v>28</v>
      </c>
      <c r="H6" s="2508" t="s">
        <v>28</v>
      </c>
      <c r="I6" s="2508" t="s">
        <v>28</v>
      </c>
    </row>
    <row r="7" spans="1:9" ht="11.25" customHeight="1">
      <c r="A7" s="2508" t="s">
        <v>91</v>
      </c>
      <c r="B7" s="2508" t="s">
        <v>2641</v>
      </c>
      <c r="C7" s="2508" t="s">
        <v>28</v>
      </c>
      <c r="D7" s="2508" t="s">
        <v>2629</v>
      </c>
      <c r="E7" s="2508" t="s">
        <v>2630</v>
      </c>
      <c r="F7" s="2508" t="s">
        <v>28</v>
      </c>
      <c r="G7" s="2508" t="s">
        <v>28</v>
      </c>
      <c r="H7" s="2508" t="s">
        <v>28</v>
      </c>
      <c r="I7" s="2508" t="s">
        <v>28</v>
      </c>
    </row>
    <row r="8" spans="1:9" ht="11.25" customHeight="1">
      <c r="A8" s="2508" t="s">
        <v>92</v>
      </c>
      <c r="B8" s="2508" t="s">
        <v>2642</v>
      </c>
      <c r="C8" s="2508" t="s">
        <v>28</v>
      </c>
      <c r="D8" s="2508" t="s">
        <v>2643</v>
      </c>
      <c r="E8" s="2508" t="s">
        <v>2633</v>
      </c>
      <c r="F8" s="2508" t="s">
        <v>28</v>
      </c>
      <c r="G8" s="2508" t="s">
        <v>28</v>
      </c>
      <c r="H8" s="2508" t="s">
        <v>28</v>
      </c>
      <c r="I8" s="2508" t="s">
        <v>28</v>
      </c>
    </row>
    <row r="9" spans="1:9" ht="11.25" customHeight="1">
      <c r="A9" s="2508" t="s">
        <v>111</v>
      </c>
      <c r="B9" s="2508" t="s">
        <v>2644</v>
      </c>
      <c r="C9" s="2508" t="s">
        <v>28</v>
      </c>
      <c r="D9" s="2508" t="s">
        <v>2632</v>
      </c>
      <c r="E9" s="2508" t="s">
        <v>2633</v>
      </c>
      <c r="F9" s="2508" t="s">
        <v>28</v>
      </c>
      <c r="G9" s="2508" t="s">
        <v>28</v>
      </c>
      <c r="H9" s="2508" t="s">
        <v>28</v>
      </c>
      <c r="I9" s="2508" t="s">
        <v>28</v>
      </c>
    </row>
    <row r="10" spans="1:9" ht="11.25" customHeight="1">
      <c r="A10" s="2508" t="s">
        <v>147</v>
      </c>
      <c r="B10" s="2508" t="s">
        <v>2645</v>
      </c>
      <c r="C10" s="2508" t="s">
        <v>28</v>
      </c>
      <c r="D10" s="2508" t="s">
        <v>2646</v>
      </c>
      <c r="E10" s="2508" t="s">
        <v>2647</v>
      </c>
      <c r="F10" s="2508" t="s">
        <v>28</v>
      </c>
      <c r="G10" s="2508" t="s">
        <v>28</v>
      </c>
      <c r="H10" s="2508" t="s">
        <v>28</v>
      </c>
      <c r="I10" s="2508" t="s">
        <v>28</v>
      </c>
    </row>
    <row r="11" spans="1:9" ht="11.25" customHeight="1">
      <c r="A11" s="2508" t="s">
        <v>148</v>
      </c>
      <c r="B11" s="2508" t="s">
        <v>2648</v>
      </c>
      <c r="C11" s="2508" t="s">
        <v>28</v>
      </c>
      <c r="D11" s="2508" t="s">
        <v>2646</v>
      </c>
      <c r="E11" s="2508" t="s">
        <v>2647</v>
      </c>
      <c r="F11" s="2508" t="s">
        <v>28</v>
      </c>
      <c r="G11" s="2508" t="s">
        <v>28</v>
      </c>
      <c r="H11" s="2508" t="s">
        <v>28</v>
      </c>
      <c r="I11" s="2508" t="s">
        <v>28</v>
      </c>
    </row>
    <row r="12" spans="1:9" ht="11.25" customHeight="1">
      <c r="A12" s="2508" t="s">
        <v>149</v>
      </c>
      <c r="B12" s="2508" t="s">
        <v>2649</v>
      </c>
      <c r="C12" s="2508" t="s">
        <v>28</v>
      </c>
      <c r="D12" s="2508" t="s">
        <v>2650</v>
      </c>
      <c r="E12" s="2508" t="s">
        <v>2651</v>
      </c>
      <c r="F12" s="2508" t="s">
        <v>28</v>
      </c>
      <c r="G12" s="2508" t="s">
        <v>28</v>
      </c>
      <c r="H12" s="2508" t="s">
        <v>28</v>
      </c>
      <c r="I12" s="2508" t="s">
        <v>28</v>
      </c>
    </row>
    <row r="13" spans="1:9" ht="11.25" customHeight="1">
      <c r="A13" s="2508" t="s">
        <v>98</v>
      </c>
      <c r="B13" s="2508" t="s">
        <v>2652</v>
      </c>
      <c r="C13" s="2508" t="s">
        <v>28</v>
      </c>
      <c r="D13" s="2508" t="s">
        <v>2650</v>
      </c>
      <c r="E13" s="2508" t="s">
        <v>2651</v>
      </c>
      <c r="F13" s="2508" t="s">
        <v>28</v>
      </c>
      <c r="G13" s="2508" t="s">
        <v>28</v>
      </c>
      <c r="H13" s="2508" t="s">
        <v>28</v>
      </c>
      <c r="I13" s="2508" t="s">
        <v>28</v>
      </c>
    </row>
    <row r="14" spans="1:9" ht="11.25" customHeight="1">
      <c r="A14" s="2508" t="s">
        <v>150</v>
      </c>
      <c r="B14" s="2508" t="s">
        <v>2653</v>
      </c>
      <c r="C14" s="2508" t="s">
        <v>28</v>
      </c>
      <c r="D14" s="2508" t="s">
        <v>2654</v>
      </c>
      <c r="E14" s="2508" t="s">
        <v>2633</v>
      </c>
      <c r="F14" s="2508" t="s">
        <v>28</v>
      </c>
      <c r="G14" s="2508" t="s">
        <v>28</v>
      </c>
      <c r="H14" s="2508" t="s">
        <v>28</v>
      </c>
      <c r="I14" s="2508" t="s">
        <v>28</v>
      </c>
    </row>
    <row r="15" spans="1:9" ht="11.25" customHeight="1">
      <c r="A15" s="2508" t="s">
        <v>151</v>
      </c>
      <c r="B15" s="2508" t="s">
        <v>2655</v>
      </c>
      <c r="C15" s="2508" t="s">
        <v>28</v>
      </c>
      <c r="D15" s="2508" t="s">
        <v>2632</v>
      </c>
      <c r="E15" s="2508" t="s">
        <v>2656</v>
      </c>
      <c r="F15" s="2508" t="s">
        <v>28</v>
      </c>
      <c r="G15" s="2508" t="s">
        <v>28</v>
      </c>
      <c r="H15" s="2508" t="s">
        <v>28</v>
      </c>
      <c r="I15" s="2508" t="s">
        <v>28</v>
      </c>
    </row>
    <row r="16" spans="1:9" ht="11.25" customHeight="1">
      <c r="A16" s="2508" t="s">
        <v>1465</v>
      </c>
      <c r="B16" s="2508" t="s">
        <v>2657</v>
      </c>
      <c r="C16" s="2508" t="s">
        <v>28</v>
      </c>
      <c r="D16" s="2508" t="s">
        <v>2632</v>
      </c>
      <c r="E16" s="2508" t="s">
        <v>2633</v>
      </c>
      <c r="F16" s="2508" t="s">
        <v>28</v>
      </c>
      <c r="G16" s="2508" t="s">
        <v>28</v>
      </c>
      <c r="H16" s="2508" t="s">
        <v>28</v>
      </c>
      <c r="I16" s="2508" t="s">
        <v>28</v>
      </c>
    </row>
    <row r="17" spans="1:9" ht="11.25" customHeight="1">
      <c r="A17" s="2508" t="s">
        <v>1471</v>
      </c>
      <c r="B17" s="2508" t="s">
        <v>2658</v>
      </c>
      <c r="C17" s="2508" t="s">
        <v>28</v>
      </c>
      <c r="D17" s="2508" t="s">
        <v>2654</v>
      </c>
      <c r="E17" s="2508" t="s">
        <v>2633</v>
      </c>
      <c r="F17" s="2508" t="s">
        <v>28</v>
      </c>
      <c r="G17" s="2508" t="s">
        <v>28</v>
      </c>
      <c r="H17" s="2508" t="s">
        <v>28</v>
      </c>
      <c r="I17" s="2508" t="s">
        <v>28</v>
      </c>
    </row>
    <row r="18" spans="1:9" ht="11.25" customHeight="1">
      <c r="A18" s="2508" t="s">
        <v>1483</v>
      </c>
      <c r="B18" s="2508" t="s">
        <v>2659</v>
      </c>
      <c r="C18" s="2508" t="s">
        <v>28</v>
      </c>
      <c r="D18" s="2508" t="s">
        <v>2660</v>
      </c>
      <c r="E18" s="2508" t="s">
        <v>2633</v>
      </c>
      <c r="F18" s="2508" t="s">
        <v>28</v>
      </c>
      <c r="G18" s="2508" t="s">
        <v>28</v>
      </c>
      <c r="H18" s="2508" t="s">
        <v>28</v>
      </c>
      <c r="I18" s="2508" t="s">
        <v>28</v>
      </c>
    </row>
    <row r="19" spans="1:9" ht="11.25" customHeight="1">
      <c r="A19" s="2508" t="s">
        <v>1497</v>
      </c>
      <c r="B19" s="2508" t="s">
        <v>2661</v>
      </c>
      <c r="C19" s="2508" t="s">
        <v>28</v>
      </c>
      <c r="D19" s="2508" t="s">
        <v>2660</v>
      </c>
      <c r="E19" s="2508" t="s">
        <v>2662</v>
      </c>
      <c r="F19" s="2508" t="s">
        <v>28</v>
      </c>
      <c r="G19" s="2508" t="s">
        <v>28</v>
      </c>
      <c r="H19" s="2508" t="s">
        <v>28</v>
      </c>
      <c r="I19" s="2508" t="s">
        <v>28</v>
      </c>
    </row>
    <row r="20" spans="1:9" ht="11.25" customHeight="1">
      <c r="A20" s="2508" t="s">
        <v>1509</v>
      </c>
      <c r="B20" s="2508" t="s">
        <v>2663</v>
      </c>
      <c r="C20" s="2508" t="s">
        <v>28</v>
      </c>
      <c r="D20" s="2508" t="s">
        <v>2660</v>
      </c>
      <c r="E20" s="2508" t="s">
        <v>2656</v>
      </c>
      <c r="F20" s="2508" t="s">
        <v>28</v>
      </c>
      <c r="G20" s="2508" t="s">
        <v>28</v>
      </c>
      <c r="H20" s="2508" t="s">
        <v>28</v>
      </c>
      <c r="I20" s="2508" t="s">
        <v>28</v>
      </c>
    </row>
    <row r="21" spans="1:9" ht="11.25" customHeight="1">
      <c r="A21" s="2508" t="s">
        <v>1518</v>
      </c>
      <c r="B21" s="2508" t="s">
        <v>2664</v>
      </c>
      <c r="C21" s="2508" t="s">
        <v>28</v>
      </c>
      <c r="D21" s="2508" t="s">
        <v>2632</v>
      </c>
      <c r="E21" s="2508" t="s">
        <v>2633</v>
      </c>
      <c r="F21" s="2508" t="s">
        <v>28</v>
      </c>
      <c r="G21" s="2508" t="s">
        <v>28</v>
      </c>
      <c r="H21" s="2508" t="s">
        <v>28</v>
      </c>
      <c r="I21" s="2508" t="s">
        <v>28</v>
      </c>
    </row>
    <row r="22" spans="1:9" ht="11.25" customHeight="1">
      <c r="A22" s="2508" t="s">
        <v>1534</v>
      </c>
      <c r="B22" s="2508" t="s">
        <v>2665</v>
      </c>
      <c r="C22" s="2508" t="s">
        <v>28</v>
      </c>
      <c r="D22" s="2508" t="s">
        <v>2660</v>
      </c>
      <c r="E22" s="2508" t="s">
        <v>2662</v>
      </c>
      <c r="F22" s="2508" t="s">
        <v>28</v>
      </c>
      <c r="G22" s="2508" t="s">
        <v>28</v>
      </c>
      <c r="H22" s="2508" t="s">
        <v>28</v>
      </c>
      <c r="I22" s="2508" t="s">
        <v>28</v>
      </c>
    </row>
    <row r="23" spans="1:9" ht="11.25" customHeight="1">
      <c r="A23" s="2508" t="s">
        <v>1541</v>
      </c>
      <c r="B23" s="2508" t="s">
        <v>2666</v>
      </c>
      <c r="C23" s="2508" t="s">
        <v>28</v>
      </c>
      <c r="D23" s="2508" t="s">
        <v>2660</v>
      </c>
      <c r="E23" s="2508" t="s">
        <v>2667</v>
      </c>
      <c r="F23" s="2508" t="s">
        <v>28</v>
      </c>
      <c r="G23" s="2508" t="s">
        <v>28</v>
      </c>
      <c r="H23" s="2508" t="s">
        <v>28</v>
      </c>
      <c r="I23" s="250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511" hidden="1" customWidth="1"/>
    <col min="2" max="2" width="9.140625" style="2513" hidden="1" customWidth="1"/>
    <col min="3" max="3" width="3" style="2525" customWidth="1"/>
    <col min="4" max="4" width="5" style="2513" customWidth="1"/>
    <col min="5" max="5" width="48" style="2513" customWidth="1"/>
    <col min="6" max="6" width="38" style="2513" customWidth="1"/>
    <col min="7" max="7" width="1.7109375" style="2513" hidden="1" customWidth="1"/>
    <col min="8" max="11" width="19.85546875" style="2513" customWidth="1"/>
    <col min="12" max="12" width="9.7109375" style="2513" customWidth="1"/>
    <col min="13" max="18" width="19.85546875" style="2513" customWidth="1"/>
    <col min="19" max="19" width="1.7109375" style="2513" hidden="1" customWidth="1"/>
    <col min="20" max="22" width="19.85546875" style="2513" hidden="1" customWidth="1"/>
    <col min="23" max="23" width="1.7109375" style="2513" hidden="1" customWidth="1"/>
    <col min="24" max="26" width="19.85546875" style="2513" hidden="1" customWidth="1"/>
    <col min="27" max="27" width="1.7109375" style="2513" hidden="1" customWidth="1"/>
    <col min="28" max="29" width="19.85546875" style="2513" hidden="1" customWidth="1"/>
    <col min="30" max="30" width="1.7109375" style="2513" hidden="1" customWidth="1"/>
    <col min="31" max="31" width="103.7109375" style="2513" customWidth="1"/>
    <col min="32" max="34" width="103.7109375" style="2513" hidden="1" customWidth="1"/>
    <col min="35" max="35" width="3" style="2522" customWidth="1"/>
    <col min="36" max="38" width="10" style="2520" customWidth="1"/>
    <col min="39" max="39" width="13.7109375" style="2520" hidden="1" customWidth="1"/>
    <col min="40" max="40" width="15" style="2520" customWidth="1"/>
    <col min="41" max="41" width="16" style="2520" customWidth="1"/>
    <col min="42" max="45" width="10" style="2520" customWidth="1"/>
    <col min="46" max="46" width="10.5703125" style="2513" hidden="1"/>
  </cols>
  <sheetData>
    <row r="1" spans="1:46" ht="22.5" hidden="1" customHeight="1">
      <c r="E1" s="347"/>
      <c r="F1" s="347"/>
      <c r="G1" s="347"/>
      <c r="H1" s="2732" t="s">
        <v>354</v>
      </c>
      <c r="I1" s="2732"/>
      <c r="J1" s="2732"/>
      <c r="K1" s="2732"/>
      <c r="L1" s="2732"/>
      <c r="M1" s="2732"/>
      <c r="N1" s="2732"/>
      <c r="O1" s="2732"/>
      <c r="P1" s="2732"/>
      <c r="Q1" s="2732"/>
      <c r="R1" s="2732"/>
      <c r="T1" s="2732" t="s">
        <v>355</v>
      </c>
      <c r="U1" s="2732"/>
      <c r="V1" s="2732"/>
      <c r="X1" s="2732" t="s">
        <v>356</v>
      </c>
      <c r="Y1" s="2732"/>
      <c r="Z1" s="2732"/>
      <c r="AB1" s="2732" t="s">
        <v>357</v>
      </c>
      <c r="AC1" s="2732"/>
      <c r="AT1" s="382" t="s">
        <v>14</v>
      </c>
    </row>
    <row r="2" spans="1:46" ht="14.25" hidden="1" customHeight="1">
      <c r="AT2" s="382">
        <v>0</v>
      </c>
    </row>
    <row r="3" spans="1:46" s="2543" customFormat="1" ht="5.25" customHeight="1">
      <c r="C3" s="636"/>
      <c r="D3" s="637"/>
      <c r="E3" s="637"/>
      <c r="F3" s="637"/>
      <c r="G3" s="637"/>
      <c r="H3" s="637" t="s">
        <v>358</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67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675"/>
      <c r="F4" s="2675"/>
      <c r="G4" s="2675"/>
      <c r="H4" s="2675"/>
      <c r="I4" s="2675"/>
      <c r="J4" s="2675"/>
      <c r="K4" s="2675"/>
      <c r="L4" s="2675"/>
      <c r="M4" s="2675"/>
      <c r="N4" s="2675"/>
      <c r="O4" s="2675"/>
      <c r="P4" s="2675"/>
      <c r="Q4" s="2675"/>
      <c r="R4" s="2676"/>
      <c r="S4" s="778"/>
      <c r="T4" s="634"/>
      <c r="U4" s="634"/>
      <c r="V4" s="634"/>
      <c r="W4" s="634"/>
      <c r="X4" s="634"/>
      <c r="Y4" s="634"/>
      <c r="Z4" s="634"/>
      <c r="AA4" s="634"/>
      <c r="AB4" s="634"/>
      <c r="AC4" s="634"/>
      <c r="AD4" s="634"/>
      <c r="AE4" s="426"/>
      <c r="AF4" s="426"/>
      <c r="AG4" s="426"/>
      <c r="AH4" s="426"/>
      <c r="AI4" s="423"/>
      <c r="AT4" s="382">
        <v>38</v>
      </c>
    </row>
    <row r="5" spans="1:46" s="2513" customFormat="1" ht="18" customHeight="1">
      <c r="A5" s="692"/>
      <c r="C5" s="751"/>
      <c r="D5" s="2729" t="str">
        <f>IF(org=0,"Не определено",org)</f>
        <v>ООО "Ноябрьская ПГЭ"</v>
      </c>
      <c r="E5" s="2730"/>
      <c r="F5" s="2730"/>
      <c r="G5" s="2730"/>
      <c r="H5" s="2730"/>
      <c r="I5" s="2730"/>
      <c r="J5" s="2730"/>
      <c r="K5" s="2730"/>
      <c r="L5" s="2730"/>
      <c r="M5" s="2730"/>
      <c r="N5" s="2730"/>
      <c r="O5" s="2730"/>
      <c r="P5" s="2730"/>
      <c r="Q5" s="2730"/>
      <c r="R5" s="2731"/>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512"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733" t="s">
        <v>302</v>
      </c>
      <c r="E7" s="2734"/>
      <c r="F7" s="2734"/>
      <c r="G7" s="2734"/>
      <c r="H7" s="2734"/>
      <c r="I7" s="2734"/>
      <c r="J7" s="2734"/>
      <c r="K7" s="2734"/>
      <c r="L7" s="2734"/>
      <c r="M7" s="2734"/>
      <c r="N7" s="2734"/>
      <c r="O7" s="2734"/>
      <c r="P7" s="2734"/>
      <c r="Q7" s="2734"/>
      <c r="R7" s="2734"/>
      <c r="S7" s="2734"/>
      <c r="T7" s="2734"/>
      <c r="U7" s="2734"/>
      <c r="V7" s="2734"/>
      <c r="W7" s="2734"/>
      <c r="X7" s="2734"/>
      <c r="Y7" s="2734"/>
      <c r="Z7" s="2734"/>
      <c r="AA7" s="2734"/>
      <c r="AB7" s="2734"/>
      <c r="AC7" s="2734"/>
      <c r="AD7" s="2735"/>
      <c r="AE7" s="2672" t="s">
        <v>303</v>
      </c>
      <c r="AF7" s="2672" t="s">
        <v>303</v>
      </c>
      <c r="AG7" s="2672" t="s">
        <v>303</v>
      </c>
      <c r="AH7" s="2672" t="s">
        <v>303</v>
      </c>
      <c r="AT7" s="382">
        <v>14</v>
      </c>
    </row>
    <row r="8" spans="1:46" ht="27.4" customHeight="1">
      <c r="C8" s="385"/>
      <c r="D8" s="2638" t="s">
        <v>87</v>
      </c>
      <c r="E8" s="2672" t="str">
        <f>"Наименование "&amp;IF(TEMPLATE_SPHERE&lt;&gt;"HEAT","централизованной ","")&amp;"системы "&amp;TEMPLATE_SPHERE_RUS</f>
        <v>Наименование системы теплоснабжения</v>
      </c>
      <c r="F8" s="2672" t="str">
        <f>IF(TEMPLATE_SPHERE&lt;&gt;"HEAT","Регулируемый вид деятельности","Вид регулируемой деятельности")</f>
        <v>Вид регулируемой деятельности</v>
      </c>
      <c r="G8" s="757"/>
      <c r="H8" s="2738" t="s">
        <v>359</v>
      </c>
      <c r="I8" s="2740" t="s">
        <v>360</v>
      </c>
      <c r="J8" s="2672" t="s">
        <v>361</v>
      </c>
      <c r="K8" s="2672"/>
      <c r="L8" s="2672"/>
      <c r="M8" s="2733"/>
      <c r="N8" s="2672" t="s">
        <v>362</v>
      </c>
      <c r="O8" s="2672"/>
      <c r="P8" s="2672" t="s">
        <v>363</v>
      </c>
      <c r="Q8" s="2672"/>
      <c r="R8" s="2742" t="s">
        <v>364</v>
      </c>
      <c r="S8" s="753"/>
      <c r="T8" s="2738" t="s">
        <v>365</v>
      </c>
      <c r="U8" s="2738" t="s">
        <v>366</v>
      </c>
      <c r="V8" s="2738" t="s">
        <v>367</v>
      </c>
      <c r="W8" s="755"/>
      <c r="X8" s="2738" t="s">
        <v>368</v>
      </c>
      <c r="Y8" s="2738" t="s">
        <v>369</v>
      </c>
      <c r="Z8" s="2738" t="s">
        <v>370</v>
      </c>
      <c r="AA8" s="755"/>
      <c r="AB8" s="2738" t="s">
        <v>371</v>
      </c>
      <c r="AC8" s="2738" t="s">
        <v>364</v>
      </c>
      <c r="AD8" s="755"/>
      <c r="AE8" s="2672"/>
      <c r="AF8" s="2672"/>
      <c r="AG8" s="2672"/>
      <c r="AH8" s="2672"/>
      <c r="AT8" s="382">
        <v>26</v>
      </c>
    </row>
    <row r="9" spans="1:46" ht="46.15" customHeight="1">
      <c r="C9" s="385"/>
      <c r="D9" s="2638"/>
      <c r="E9" s="2672"/>
      <c r="F9" s="2672"/>
      <c r="G9" s="758"/>
      <c r="H9" s="2739"/>
      <c r="I9" s="2741"/>
      <c r="J9" s="360" t="s">
        <v>372</v>
      </c>
      <c r="K9" s="360" t="s">
        <v>373</v>
      </c>
      <c r="L9" s="360" t="s">
        <v>374</v>
      </c>
      <c r="M9" s="366" t="s">
        <v>375</v>
      </c>
      <c r="N9" s="360" t="s">
        <v>376</v>
      </c>
      <c r="O9" s="360" t="s">
        <v>375</v>
      </c>
      <c r="P9" s="360" t="s">
        <v>377</v>
      </c>
      <c r="Q9" s="360" t="s">
        <v>375</v>
      </c>
      <c r="R9" s="2743"/>
      <c r="S9" s="754"/>
      <c r="T9" s="2739"/>
      <c r="U9" s="2739"/>
      <c r="V9" s="2739"/>
      <c r="W9" s="756"/>
      <c r="X9" s="2739"/>
      <c r="Y9" s="2739"/>
      <c r="Z9" s="2739"/>
      <c r="AA9" s="756"/>
      <c r="AB9" s="2739"/>
      <c r="AC9" s="2739"/>
      <c r="AD9" s="756"/>
      <c r="AE9" s="2672"/>
      <c r="AF9" s="2672"/>
      <c r="AG9" s="2672"/>
      <c r="AH9" s="2672"/>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544" customFormat="1" ht="11.25" hidden="1" customHeight="1">
      <c r="C11" s="433"/>
      <c r="D11" s="434" t="s">
        <v>378</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108</v>
      </c>
      <c r="E12" s="1694" t="s">
        <v>28</v>
      </c>
      <c r="F12" s="780"/>
      <c r="G12" s="781"/>
      <c r="H12" s="1695"/>
      <c r="I12" s="1695"/>
      <c r="J12" s="368"/>
      <c r="K12" s="1778"/>
      <c r="L12" s="367"/>
      <c r="M12" s="1778"/>
      <c r="N12" s="368"/>
      <c r="O12" s="1778"/>
      <c r="P12" s="368"/>
      <c r="Q12" s="1778"/>
      <c r="R12" s="368"/>
      <c r="S12" s="779"/>
      <c r="T12" s="1695"/>
      <c r="U12" s="368"/>
      <c r="V12" s="368"/>
      <c r="W12" s="756"/>
      <c r="X12" s="1695"/>
      <c r="Y12" s="368"/>
      <c r="Z12" s="368"/>
      <c r="AA12" s="756"/>
      <c r="AB12" s="1695"/>
      <c r="AC12" s="368"/>
      <c r="AD12" s="756"/>
      <c r="AE12" s="2736" t="s">
        <v>379</v>
      </c>
      <c r="AF12" s="2736" t="s">
        <v>380</v>
      </c>
      <c r="AG12" s="2736" t="s">
        <v>381</v>
      </c>
      <c r="AH12" s="2736" t="s">
        <v>382</v>
      </c>
      <c r="AI12" s="382"/>
      <c r="AM12" s="446"/>
      <c r="AP12" s="435" t="s">
        <v>383</v>
      </c>
      <c r="AQ12" s="435" t="s">
        <v>383</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737"/>
      <c r="AF13" s="2737"/>
      <c r="AG13" s="2737"/>
      <c r="AH13" s="2737"/>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81</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589"/>
  </cols>
  <sheetData>
    <row r="1" spans="1:2" ht="11.25" customHeight="1">
      <c r="A1" s="119" t="s">
        <v>129</v>
      </c>
      <c r="B1" s="119" t="s">
        <v>2668</v>
      </c>
    </row>
    <row r="2" spans="1:2" ht="11.25" customHeight="1">
      <c r="A2" s="2" t="s">
        <v>97</v>
      </c>
      <c r="B2" s="2" t="s">
        <v>2669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588"/>
    <col min="2" max="2" width="65.28515625" style="2588" customWidth="1"/>
  </cols>
  <sheetData>
    <row r="1" spans="1:2" ht="11.25" customHeight="1">
      <c r="A1" s="764" t="s">
        <v>2670</v>
      </c>
      <c r="B1" s="764" t="s">
        <v>2671</v>
      </c>
    </row>
    <row r="2" spans="1:2" ht="11.25" customHeight="1">
      <c r="A2" s="764">
        <v>4213775</v>
      </c>
      <c r="B2" s="764" t="s">
        <v>1225</v>
      </c>
    </row>
    <row r="3" spans="1:2" ht="11.25" customHeight="1">
      <c r="A3" s="764">
        <v>4213784</v>
      </c>
      <c r="B3" s="764" t="s">
        <v>1256</v>
      </c>
    </row>
    <row r="4" spans="1:2" ht="11.25" customHeight="1">
      <c r="A4" s="764">
        <v>4213781</v>
      </c>
      <c r="B4" s="764" t="s">
        <v>1249</v>
      </c>
    </row>
    <row r="5" spans="1:2" ht="11.25" customHeight="1">
      <c r="A5" s="764">
        <v>4213776</v>
      </c>
      <c r="B5" s="764" t="s">
        <v>170</v>
      </c>
    </row>
    <row r="6" spans="1:2" ht="11.25" customHeight="1">
      <c r="A6" s="764">
        <v>4213777</v>
      </c>
      <c r="B6" s="764" t="s">
        <v>176</v>
      </c>
    </row>
    <row r="7" spans="1:2" ht="11.25" customHeight="1">
      <c r="A7" s="764">
        <v>4213778</v>
      </c>
      <c r="B7" s="764" t="s">
        <v>182</v>
      </c>
    </row>
    <row r="8" spans="1:2" ht="11.25" customHeight="1">
      <c r="A8" s="764">
        <v>4213780</v>
      </c>
      <c r="B8" s="764" t="s">
        <v>188</v>
      </c>
    </row>
    <row r="9" spans="1:2" ht="11.25" customHeight="1">
      <c r="A9" s="764">
        <v>4213779</v>
      </c>
      <c r="B9" s="764" t="s">
        <v>1390</v>
      </c>
    </row>
    <row r="10" spans="1:2" ht="11.25" customHeight="1">
      <c r="A10" s="764">
        <v>4213783</v>
      </c>
      <c r="B10" s="764" t="s">
        <v>1405</v>
      </c>
    </row>
    <row r="11" spans="1:2" ht="11.25" customHeight="1">
      <c r="A11" s="764">
        <v>4213782</v>
      </c>
      <c r="B11" s="764" t="s">
        <v>194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588"/>
    <col min="2" max="2" width="65.28515625" style="2588" customWidth="1"/>
  </cols>
  <sheetData>
    <row r="1" spans="1:2" ht="11.25" customHeight="1">
      <c r="A1" s="764" t="s">
        <v>2670</v>
      </c>
      <c r="B1" s="764" t="s">
        <v>2672</v>
      </c>
    </row>
    <row r="2" spans="1:2" ht="11.25" customHeight="1">
      <c r="A2" s="764" t="s">
        <v>2673</v>
      </c>
      <c r="B2" s="764" t="s">
        <v>1503</v>
      </c>
    </row>
    <row r="3" spans="1:2" ht="11.25" customHeight="1">
      <c r="A3" s="764" t="s">
        <v>2674</v>
      </c>
      <c r="B3" s="764" t="s">
        <v>1513</v>
      </c>
    </row>
    <row r="4" spans="1:2" ht="11.25" customHeight="1">
      <c r="A4" s="764" t="s">
        <v>2675</v>
      </c>
      <c r="B4" s="764" t="s">
        <v>1522</v>
      </c>
    </row>
    <row r="5" spans="1:2" ht="11.25" customHeight="1">
      <c r="A5" s="764" t="s">
        <v>2676</v>
      </c>
      <c r="B5" s="764" t="s">
        <v>1531</v>
      </c>
    </row>
    <row r="6" spans="1:2" ht="11.25" customHeight="1">
      <c r="A6" s="764" t="s">
        <v>2677</v>
      </c>
      <c r="B6" s="764" t="s">
        <v>1537</v>
      </c>
    </row>
    <row r="7" spans="1:2" ht="11.25" customHeight="1">
      <c r="A7" s="764" t="s">
        <v>2678</v>
      </c>
      <c r="B7" s="764" t="s">
        <v>1545</v>
      </c>
    </row>
    <row r="8" spans="1:2" ht="11.25" customHeight="1">
      <c r="A8" s="764" t="s">
        <v>2679</v>
      </c>
      <c r="B8" s="764" t="s">
        <v>1552</v>
      </c>
    </row>
    <row r="9" spans="1:2" ht="11.25" customHeight="1">
      <c r="A9" s="764" t="s">
        <v>2680</v>
      </c>
      <c r="B9" s="764" t="s">
        <v>1558</v>
      </c>
    </row>
    <row r="10" spans="1:2" ht="11.25" customHeight="1">
      <c r="A10" s="764" t="s">
        <v>2681</v>
      </c>
      <c r="B10" s="764" t="s">
        <v>1562</v>
      </c>
    </row>
    <row r="11" spans="1:2" ht="11.25" customHeight="1">
      <c r="A11" s="764" t="s">
        <v>2682</v>
      </c>
      <c r="B11" s="764" t="s">
        <v>1569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4"/>
  <sheetViews>
    <sheetView showGridLines="0" workbookViewId="0"/>
  </sheetViews>
  <sheetFormatPr defaultRowHeight="11.25" customHeight="1"/>
  <sheetData>
    <row r="1" spans="1:7" ht="11.25" customHeight="1">
      <c r="A1" s="308" t="s">
        <v>2586</v>
      </c>
      <c r="B1" s="308" t="s">
        <v>2587</v>
      </c>
      <c r="C1" s="308" t="s">
        <v>2588</v>
      </c>
      <c r="D1" s="308" t="s">
        <v>2589</v>
      </c>
      <c r="E1" t="s">
        <v>2590</v>
      </c>
      <c r="F1" t="s">
        <v>2591</v>
      </c>
      <c r="G1" t="s">
        <v>2592</v>
      </c>
    </row>
    <row r="2" spans="1:7" ht="11.25" customHeight="1">
      <c r="A2" t="s">
        <v>16</v>
      </c>
      <c r="B2" t="s">
        <v>2593</v>
      </c>
      <c r="C2" t="s">
        <v>2594</v>
      </c>
      <c r="D2" t="s">
        <v>2593</v>
      </c>
      <c r="E2" t="s">
        <v>2594</v>
      </c>
      <c r="F2" t="s">
        <v>2595</v>
      </c>
      <c r="G2" t="s">
        <v>108</v>
      </c>
    </row>
    <row r="3" spans="1:7" ht="11.25" customHeight="1">
      <c r="A3" t="s">
        <v>16</v>
      </c>
      <c r="B3" t="s">
        <v>2596</v>
      </c>
      <c r="C3" t="s">
        <v>2597</v>
      </c>
      <c r="D3" t="s">
        <v>2596</v>
      </c>
      <c r="E3" t="s">
        <v>2597</v>
      </c>
      <c r="F3" t="s">
        <v>2595</v>
      </c>
      <c r="G3" t="s">
        <v>109</v>
      </c>
    </row>
    <row r="4" spans="1:7" ht="11.25" customHeight="1">
      <c r="A4" t="s">
        <v>16</v>
      </c>
      <c r="B4" t="s">
        <v>2598</v>
      </c>
      <c r="C4" t="s">
        <v>2599</v>
      </c>
      <c r="D4" t="s">
        <v>2598</v>
      </c>
      <c r="E4" t="s">
        <v>2599</v>
      </c>
      <c r="F4" t="s">
        <v>2595</v>
      </c>
      <c r="G4" t="s">
        <v>89</v>
      </c>
    </row>
    <row r="5" spans="1:7" ht="11.25" customHeight="1">
      <c r="A5" t="s">
        <v>16</v>
      </c>
      <c r="B5" t="s">
        <v>2600</v>
      </c>
      <c r="C5" t="s">
        <v>2601</v>
      </c>
      <c r="D5" t="s">
        <v>2600</v>
      </c>
      <c r="E5" t="s">
        <v>2601</v>
      </c>
      <c r="F5" t="s">
        <v>2595</v>
      </c>
      <c r="G5" t="s">
        <v>90</v>
      </c>
    </row>
    <row r="6" spans="1:7" ht="11.25" customHeight="1">
      <c r="A6" t="s">
        <v>16</v>
      </c>
      <c r="B6" t="s">
        <v>2602</v>
      </c>
      <c r="C6" t="s">
        <v>2603</v>
      </c>
      <c r="D6" t="s">
        <v>2602</v>
      </c>
      <c r="E6" t="s">
        <v>2603</v>
      </c>
      <c r="F6" t="s">
        <v>2595</v>
      </c>
      <c r="G6" t="s">
        <v>110</v>
      </c>
    </row>
    <row r="7" spans="1:7" ht="11.25" customHeight="1">
      <c r="A7" t="s">
        <v>16</v>
      </c>
      <c r="B7" t="s">
        <v>2604</v>
      </c>
      <c r="C7" t="s">
        <v>2605</v>
      </c>
      <c r="D7" t="s">
        <v>2604</v>
      </c>
      <c r="E7" t="s">
        <v>2605</v>
      </c>
      <c r="F7" t="s">
        <v>2595</v>
      </c>
      <c r="G7" t="s">
        <v>91</v>
      </c>
    </row>
    <row r="8" spans="1:7" ht="11.25" customHeight="1">
      <c r="A8" t="s">
        <v>16</v>
      </c>
      <c r="B8" t="s">
        <v>2606</v>
      </c>
      <c r="C8" t="s">
        <v>2607</v>
      </c>
      <c r="D8" t="s">
        <v>2606</v>
      </c>
      <c r="E8" t="s">
        <v>2607</v>
      </c>
      <c r="F8" t="s">
        <v>2595</v>
      </c>
      <c r="G8" t="s">
        <v>92</v>
      </c>
    </row>
    <row r="9" spans="1:7" ht="11.25" customHeight="1">
      <c r="A9" t="s">
        <v>16</v>
      </c>
      <c r="B9" t="s">
        <v>2608</v>
      </c>
      <c r="C9" t="s">
        <v>2609</v>
      </c>
      <c r="D9" t="s">
        <v>2608</v>
      </c>
      <c r="E9" t="s">
        <v>2609</v>
      </c>
      <c r="F9" t="s">
        <v>2610</v>
      </c>
      <c r="G9" t="s">
        <v>111</v>
      </c>
    </row>
    <row r="10" spans="1:7" ht="11.25" customHeight="1">
      <c r="A10" t="s">
        <v>16</v>
      </c>
      <c r="B10" t="s">
        <v>2611</v>
      </c>
      <c r="C10" t="s">
        <v>2612</v>
      </c>
      <c r="D10" t="s">
        <v>2611</v>
      </c>
      <c r="E10" t="s">
        <v>2612</v>
      </c>
      <c r="F10" t="s">
        <v>2610</v>
      </c>
      <c r="G10" t="s">
        <v>147</v>
      </c>
    </row>
    <row r="11" spans="1:7" ht="11.25" customHeight="1">
      <c r="A11" t="s">
        <v>16</v>
      </c>
      <c r="B11" t="s">
        <v>2613</v>
      </c>
      <c r="C11" t="s">
        <v>2614</v>
      </c>
      <c r="D11" t="s">
        <v>2613</v>
      </c>
      <c r="E11" t="s">
        <v>2614</v>
      </c>
      <c r="F11" t="s">
        <v>2610</v>
      </c>
      <c r="G11" t="s">
        <v>148</v>
      </c>
    </row>
    <row r="12" spans="1:7" ht="11.25" customHeight="1">
      <c r="A12" t="s">
        <v>16</v>
      </c>
      <c r="B12" t="s">
        <v>2615</v>
      </c>
      <c r="C12" t="s">
        <v>2616</v>
      </c>
      <c r="D12" t="s">
        <v>2615</v>
      </c>
      <c r="E12" t="s">
        <v>2616</v>
      </c>
      <c r="F12" t="s">
        <v>2610</v>
      </c>
      <c r="G12" t="s">
        <v>149</v>
      </c>
    </row>
    <row r="13" spans="1:7" ht="11.25" customHeight="1">
      <c r="A13" t="s">
        <v>16</v>
      </c>
      <c r="B13" t="s">
        <v>99</v>
      </c>
      <c r="C13" t="s">
        <v>100</v>
      </c>
      <c r="D13" t="s">
        <v>99</v>
      </c>
      <c r="E13" t="s">
        <v>100</v>
      </c>
      <c r="F13" t="s">
        <v>2610</v>
      </c>
      <c r="G13" t="s">
        <v>98</v>
      </c>
    </row>
    <row r="14" spans="1:7" ht="11.25" customHeight="1">
      <c r="A14" t="s">
        <v>16</v>
      </c>
      <c r="B14" t="s">
        <v>2617</v>
      </c>
      <c r="C14" t="s">
        <v>2618</v>
      </c>
      <c r="D14" t="s">
        <v>2617</v>
      </c>
      <c r="E14" t="s">
        <v>2618</v>
      </c>
      <c r="F14" t="s">
        <v>2610</v>
      </c>
      <c r="G14" t="s">
        <v>150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588"/>
    <col min="2" max="2" width="84.28515625" style="2588" customWidth="1"/>
    <col min="3" max="3" width="9.140625" style="2588"/>
  </cols>
  <sheetData>
    <row r="1" spans="1:3" ht="11.25" customHeight="1">
      <c r="A1" s="764" t="s">
        <v>2683</v>
      </c>
      <c r="B1" s="764" t="s">
        <v>2684</v>
      </c>
      <c r="C1" s="764" t="s">
        <v>1171</v>
      </c>
    </row>
    <row r="2" spans="1:3" ht="11.25" customHeight="1">
      <c r="A2" s="764">
        <v>4189678</v>
      </c>
      <c r="B2" s="764" t="s">
        <v>2685</v>
      </c>
      <c r="C2" s="764" t="s">
        <v>2686</v>
      </c>
    </row>
    <row r="3" spans="1:3" ht="11.25" customHeight="1">
      <c r="A3" s="764">
        <v>4190415</v>
      </c>
      <c r="B3" s="764" t="s">
        <v>2687</v>
      </c>
      <c r="C3" s="764" t="s">
        <v>2686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590" customWidth="1"/>
    <col min="2" max="5" width="9.140625" style="2590"/>
  </cols>
  <sheetData>
    <row r="1" spans="1:5" ht="15" customHeight="1">
      <c r="A1" s="99" t="s">
        <v>2688</v>
      </c>
      <c r="B1" s="99" t="s">
        <v>2689</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2690</v>
      </c>
      <c r="B1" t="b">
        <v>1</v>
      </c>
    </row>
    <row r="2" spans="1:2" ht="11.25" customHeight="1">
      <c r="A2" t="s">
        <v>2691</v>
      </c>
      <c r="B2" t="b">
        <v>0</v>
      </c>
    </row>
    <row r="3" spans="1:2" ht="11.25" customHeight="1">
      <c r="A3" t="s">
        <v>2692</v>
      </c>
      <c r="B3" t="b">
        <v>1</v>
      </c>
    </row>
    <row r="4" spans="1:2" ht="11.25" customHeight="1">
      <c r="A4" t="s">
        <v>2693</v>
      </c>
      <c r="B4" t="b">
        <v>0</v>
      </c>
    </row>
    <row r="5" spans="1:2" ht="11.25" customHeight="1">
      <c r="A5" t="s">
        <v>2694</v>
      </c>
      <c r="B5" t="b">
        <v>0</v>
      </c>
    </row>
    <row r="6" spans="1:2" ht="11.25" customHeight="1">
      <c r="A6" t="s">
        <v>2695</v>
      </c>
      <c r="B6" t="b">
        <v>0</v>
      </c>
    </row>
    <row r="7" spans="1:2" ht="11.25" customHeight="1">
      <c r="A7" t="s">
        <v>2696</v>
      </c>
      <c r="B7" t="b">
        <v>0</v>
      </c>
    </row>
    <row r="8" spans="1:2" ht="11.25" customHeight="1">
      <c r="A8" t="s">
        <v>2697</v>
      </c>
      <c r="B8" t="b">
        <v>0</v>
      </c>
    </row>
    <row r="9" spans="1:2" ht="11.25" customHeight="1">
      <c r="A9" t="s">
        <v>2698</v>
      </c>
      <c r="B9" t="b">
        <v>0</v>
      </c>
    </row>
    <row r="10" spans="1:2" ht="11.25" customHeight="1">
      <c r="A10" t="s">
        <v>2699</v>
      </c>
      <c r="B10" t="b">
        <v>0</v>
      </c>
    </row>
    <row r="11" spans="1:2" ht="11.25" customHeight="1">
      <c r="A11" t="s">
        <v>2700</v>
      </c>
      <c r="B11" t="b">
        <v>0</v>
      </c>
    </row>
    <row r="12" spans="1:2" ht="11.25" customHeight="1">
      <c r="A12" t="s">
        <v>2701</v>
      </c>
      <c r="B12" t="b">
        <v>0</v>
      </c>
    </row>
    <row r="13" spans="1:2" ht="11.25" customHeight="1">
      <c r="A13" t="s">
        <v>2702</v>
      </c>
      <c r="B13" t="b">
        <v>0</v>
      </c>
    </row>
    <row r="14" spans="1:2" ht="11.25" customHeight="1">
      <c r="A14" t="s">
        <v>2703</v>
      </c>
      <c r="B14" t="b">
        <v>1</v>
      </c>
    </row>
    <row r="15" spans="1:2" ht="11.25" customHeight="1">
      <c r="A15" t="s">
        <v>2704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509"/>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523" customWidth="1"/>
    <col min="2" max="2" width="21.140625" style="2523" customWidth="1"/>
  </cols>
  <sheetData>
    <row r="1" spans="1:2" ht="11.25" customHeight="1">
      <c r="A1" s="6" t="s">
        <v>2705</v>
      </c>
      <c r="B1" s="6" t="s">
        <v>2706</v>
      </c>
    </row>
    <row r="2" spans="1:2" ht="11.25" customHeight="1">
      <c r="A2" s="2" t="s">
        <v>2707</v>
      </c>
      <c r="B2" s="2" t="s">
        <v>2708</v>
      </c>
    </row>
    <row r="3" spans="1:2" ht="11.25" customHeight="1">
      <c r="A3" s="2" t="s">
        <v>2709</v>
      </c>
      <c r="B3" s="2" t="s">
        <v>2710</v>
      </c>
    </row>
    <row r="4" spans="1:2" ht="11.25" customHeight="1">
      <c r="A4" s="2" t="s">
        <v>2711</v>
      </c>
      <c r="B4" s="2" t="s">
        <v>2712</v>
      </c>
    </row>
    <row r="5" spans="1:2" ht="11.25" customHeight="1">
      <c r="A5" s="2" t="s">
        <v>2713</v>
      </c>
      <c r="B5" s="2" t="s">
        <v>2714</v>
      </c>
    </row>
    <row r="6" spans="1:2" ht="11.25" customHeight="1">
      <c r="A6" s="2" t="s">
        <v>2715</v>
      </c>
      <c r="B6" s="2" t="s">
        <v>2716</v>
      </c>
    </row>
    <row r="7" spans="1:2" ht="11.25" customHeight="1">
      <c r="A7" s="2" t="s">
        <v>2717</v>
      </c>
      <c r="B7" s="2" t="s">
        <v>2718</v>
      </c>
    </row>
    <row r="8" spans="1:2" ht="11.25" customHeight="1">
      <c r="A8" s="2" t="s">
        <v>2719</v>
      </c>
      <c r="B8" s="2" t="s">
        <v>2720</v>
      </c>
    </row>
    <row r="9" spans="1:2" ht="11.25" customHeight="1">
      <c r="A9" s="2" t="s">
        <v>2721</v>
      </c>
      <c r="B9" s="2" t="s">
        <v>2722</v>
      </c>
    </row>
    <row r="10" spans="1:2" ht="11.25" customHeight="1">
      <c r="A10" s="2" t="s">
        <v>2723</v>
      </c>
      <c r="B10" s="2" t="s">
        <v>2724</v>
      </c>
    </row>
    <row r="11" spans="1:2" ht="11.25" customHeight="1">
      <c r="A11" s="2" t="s">
        <v>2725</v>
      </c>
      <c r="B11" s="2" t="s">
        <v>2726</v>
      </c>
    </row>
    <row r="12" spans="1:2" ht="11.25" customHeight="1">
      <c r="A12" s="2" t="s">
        <v>2727</v>
      </c>
      <c r="B12" s="2" t="s">
        <v>2728</v>
      </c>
    </row>
    <row r="13" spans="1:2" ht="11.25" customHeight="1">
      <c r="A13" s="2" t="s">
        <v>2729</v>
      </c>
      <c r="B13" s="2" t="s">
        <v>2730</v>
      </c>
    </row>
    <row r="14" spans="1:2" ht="11.25" customHeight="1">
      <c r="A14" s="2" t="s">
        <v>2731</v>
      </c>
      <c r="B14" s="2" t="s">
        <v>2732</v>
      </c>
    </row>
    <row r="15" spans="1:2" ht="11.25" customHeight="1">
      <c r="A15" s="2" t="s">
        <v>2733</v>
      </c>
      <c r="B15" s="2" t="s">
        <v>2734</v>
      </c>
    </row>
    <row r="16" spans="1:2" ht="11.25" customHeight="1">
      <c r="A16" s="2" t="s">
        <v>2735</v>
      </c>
      <c r="B16" s="2" t="s">
        <v>2736</v>
      </c>
    </row>
    <row r="17" spans="1:2" ht="11.25" customHeight="1">
      <c r="A17" s="2" t="s">
        <v>2737</v>
      </c>
      <c r="B17" s="2" t="s">
        <v>2738</v>
      </c>
    </row>
    <row r="18" spans="1:2" ht="11.25" customHeight="1">
      <c r="A18" s="2" t="s">
        <v>2739</v>
      </c>
      <c r="B18" s="2" t="s">
        <v>2740</v>
      </c>
    </row>
    <row r="19" spans="1:2" ht="11.25" customHeight="1">
      <c r="A19" s="2" t="s">
        <v>2741</v>
      </c>
      <c r="B19" s="2" t="s">
        <v>2742</v>
      </c>
    </row>
    <row r="20" spans="1:2" ht="11.25" customHeight="1">
      <c r="A20" s="2" t="s">
        <v>2743</v>
      </c>
      <c r="B20" s="2" t="s">
        <v>2744</v>
      </c>
    </row>
    <row r="21" spans="1:2" ht="11.25" customHeight="1">
      <c r="A21" s="2" t="s">
        <v>2745</v>
      </c>
      <c r="B21" s="2" t="s">
        <v>2746</v>
      </c>
    </row>
    <row r="22" spans="1:2" ht="11.25" customHeight="1">
      <c r="A22" s="2" t="s">
        <v>2747</v>
      </c>
      <c r="B22" s="2" t="s">
        <v>2748</v>
      </c>
    </row>
    <row r="23" spans="1:2" ht="11.25" customHeight="1">
      <c r="A23" s="2" t="s">
        <v>2749</v>
      </c>
      <c r="B23" s="2" t="s">
        <v>2750</v>
      </c>
    </row>
    <row r="24" spans="1:2" ht="11.25" customHeight="1">
      <c r="A24" s="2" t="s">
        <v>2751</v>
      </c>
      <c r="B24" s="2" t="s">
        <v>2752</v>
      </c>
    </row>
    <row r="25" spans="1:2" ht="11.25" customHeight="1">
      <c r="A25" s="2" t="s">
        <v>2753</v>
      </c>
      <c r="B25" s="2" t="s">
        <v>2754</v>
      </c>
    </row>
    <row r="26" spans="1:2" ht="11.25" customHeight="1">
      <c r="A26" s="2" t="s">
        <v>2755</v>
      </c>
      <c r="B26" s="2" t="s">
        <v>2756</v>
      </c>
    </row>
    <row r="27" spans="1:2" ht="11.25" customHeight="1">
      <c r="A27" s="2" t="s">
        <v>2757</v>
      </c>
      <c r="B27" s="2" t="s">
        <v>2758</v>
      </c>
    </row>
    <row r="28" spans="1:2" ht="11.25" customHeight="1">
      <c r="A28" s="2" t="s">
        <v>2759</v>
      </c>
      <c r="B28" s="2" t="s">
        <v>2760</v>
      </c>
    </row>
    <row r="29" spans="1:2" ht="11.25" customHeight="1">
      <c r="A29" s="2" t="s">
        <v>2761</v>
      </c>
      <c r="B29" s="2" t="s">
        <v>2762</v>
      </c>
    </row>
    <row r="30" spans="1:2" ht="11.25" customHeight="1">
      <c r="A30" s="2" t="s">
        <v>2763</v>
      </c>
      <c r="B30" s="2" t="s">
        <v>2764</v>
      </c>
    </row>
    <row r="31" spans="1:2" ht="11.25" customHeight="1">
      <c r="A31" s="2" t="s">
        <v>2765</v>
      </c>
      <c r="B31" s="2" t="s">
        <v>2766</v>
      </c>
    </row>
    <row r="32" spans="1:2" ht="11.25" customHeight="1">
      <c r="A32" s="2" t="s">
        <v>2767</v>
      </c>
      <c r="B32" s="2" t="s">
        <v>2768</v>
      </c>
    </row>
    <row r="33" spans="1:2" ht="11.25" customHeight="1">
      <c r="A33" s="2" t="s">
        <v>2769</v>
      </c>
      <c r="B33" s="2" t="s">
        <v>2770</v>
      </c>
    </row>
    <row r="34" spans="1:2" ht="11.25" customHeight="1">
      <c r="A34" s="2" t="s">
        <v>2771</v>
      </c>
      <c r="B34" s="2" t="s">
        <v>2772</v>
      </c>
    </row>
    <row r="35" spans="1:2" ht="11.25" customHeight="1">
      <c r="A35" s="2" t="s">
        <v>2773</v>
      </c>
      <c r="B35" s="2" t="s">
        <v>2774</v>
      </c>
    </row>
    <row r="36" spans="1:2" ht="11.25" customHeight="1">
      <c r="A36" s="2" t="s">
        <v>2775</v>
      </c>
      <c r="B36" s="2" t="s">
        <v>2776</v>
      </c>
    </row>
    <row r="37" spans="1:2" ht="11.25" customHeight="1">
      <c r="A37" s="2" t="s">
        <v>2777</v>
      </c>
      <c r="B37" s="2" t="s">
        <v>2778</v>
      </c>
    </row>
    <row r="38" spans="1:2" ht="11.25" customHeight="1">
      <c r="A38" s="2" t="s">
        <v>2779</v>
      </c>
      <c r="B38" s="2" t="s">
        <v>2780</v>
      </c>
    </row>
    <row r="39" spans="1:2" ht="11.25" customHeight="1">
      <c r="A39" s="2" t="s">
        <v>2781</v>
      </c>
      <c r="B39" s="2" t="s">
        <v>2782</v>
      </c>
    </row>
    <row r="40" spans="1:2" ht="11.25" customHeight="1">
      <c r="A40" s="2" t="s">
        <v>2783</v>
      </c>
      <c r="B40" s="2" t="s">
        <v>2784</v>
      </c>
    </row>
    <row r="41" spans="1:2" ht="11.25" customHeight="1">
      <c r="A41" s="2" t="s">
        <v>2785</v>
      </c>
      <c r="B41" s="2" t="s">
        <v>2786</v>
      </c>
    </row>
    <row r="42" spans="1:2" ht="11.25" customHeight="1">
      <c r="A42" s="2" t="s">
        <v>2787</v>
      </c>
      <c r="B42" s="2" t="s">
        <v>2788</v>
      </c>
    </row>
    <row r="43" spans="1:2" ht="11.25" customHeight="1">
      <c r="A43" s="2" t="s">
        <v>2789</v>
      </c>
      <c r="B43" s="2" t="s">
        <v>2790</v>
      </c>
    </row>
    <row r="44" spans="1:2" ht="11.25" customHeight="1">
      <c r="A44" s="2" t="s">
        <v>2791</v>
      </c>
      <c r="B44" s="2" t="s">
        <v>2792</v>
      </c>
    </row>
    <row r="45" spans="1:2" ht="11.25" customHeight="1">
      <c r="A45" s="2" t="s">
        <v>2793</v>
      </c>
      <c r="B45" s="2" t="s">
        <v>2794</v>
      </c>
    </row>
    <row r="46" spans="1:2" ht="11.25" customHeight="1">
      <c r="A46" s="2" t="s">
        <v>2795</v>
      </c>
      <c r="B46" s="2" t="s">
        <v>2796</v>
      </c>
    </row>
    <row r="47" spans="1:2" ht="11.25" customHeight="1">
      <c r="A47" s="2" t="s">
        <v>2797</v>
      </c>
      <c r="B47" s="2" t="s">
        <v>2798</v>
      </c>
    </row>
    <row r="48" spans="1:2" ht="11.25" customHeight="1">
      <c r="A48" s="2" t="s">
        <v>2799</v>
      </c>
      <c r="B48" s="2" t="s">
        <v>2800</v>
      </c>
    </row>
    <row r="49" spans="1:2" ht="11.25" customHeight="1">
      <c r="A49" s="2" t="s">
        <v>2801</v>
      </c>
      <c r="B49" s="2" t="s">
        <v>2802</v>
      </c>
    </row>
    <row r="50" spans="1:2" ht="11.25" customHeight="1">
      <c r="A50" s="2" t="s">
        <v>2803</v>
      </c>
      <c r="B50" s="2" t="s">
        <v>2804</v>
      </c>
    </row>
    <row r="51" spans="1:2" ht="11.25" customHeight="1">
      <c r="A51" s="2" t="s">
        <v>2805</v>
      </c>
      <c r="B51" s="2" t="s">
        <v>2806</v>
      </c>
    </row>
    <row r="52" spans="1:2" ht="11.25" customHeight="1">
      <c r="A52" s="2" t="s">
        <v>2807</v>
      </c>
      <c r="B52" s="2" t="s">
        <v>2808</v>
      </c>
    </row>
    <row r="53" spans="1:2" ht="11.25" customHeight="1">
      <c r="A53" s="2" t="s">
        <v>2809</v>
      </c>
      <c r="B53" s="2" t="s">
        <v>2810</v>
      </c>
    </row>
    <row r="54" spans="1:2" ht="11.25" customHeight="1">
      <c r="A54" s="2" t="s">
        <v>2811</v>
      </c>
      <c r="B54" s="2" t="s">
        <v>2812</v>
      </c>
    </row>
    <row r="55" spans="1:2" ht="11.25" customHeight="1">
      <c r="A55" s="2" t="s">
        <v>2813</v>
      </c>
      <c r="B55" s="2" t="s">
        <v>2814</v>
      </c>
    </row>
    <row r="56" spans="1:2" ht="11.25" customHeight="1">
      <c r="A56" s="2" t="s">
        <v>2815</v>
      </c>
      <c r="B56" s="2" t="s">
        <v>2816</v>
      </c>
    </row>
    <row r="57" spans="1:2" ht="11.25" customHeight="1">
      <c r="A57" s="2" t="s">
        <v>2817</v>
      </c>
      <c r="B57" s="2" t="s">
        <v>2818</v>
      </c>
    </row>
    <row r="58" spans="1:2" ht="11.25" customHeight="1">
      <c r="A58" s="2" t="s">
        <v>2819</v>
      </c>
      <c r="B58" s="2" t="s">
        <v>2820</v>
      </c>
    </row>
    <row r="59" spans="1:2" ht="11.25" customHeight="1">
      <c r="A59" s="2" t="s">
        <v>2821</v>
      </c>
      <c r="B59" s="2" t="s">
        <v>2822</v>
      </c>
    </row>
    <row r="60" spans="1:2" ht="11.25" customHeight="1">
      <c r="A60" s="2" t="s">
        <v>2823</v>
      </c>
      <c r="B60" s="2" t="s">
        <v>2824</v>
      </c>
    </row>
    <row r="61" spans="1:2" ht="11.25" customHeight="1">
      <c r="A61" s="2"/>
      <c r="B61" s="2" t="s">
        <v>2825</v>
      </c>
    </row>
    <row r="62" spans="1:2" ht="11.25" customHeight="1">
      <c r="A62" s="2"/>
      <c r="B62" s="2" t="s">
        <v>2826</v>
      </c>
    </row>
    <row r="63" spans="1:2" ht="11.25" customHeight="1">
      <c r="A63" s="2"/>
      <c r="B63" s="2" t="s">
        <v>2827</v>
      </c>
    </row>
    <row r="64" spans="1:2" ht="11.25" customHeight="1">
      <c r="A64" s="2"/>
      <c r="B64" s="2" t="s">
        <v>2828</v>
      </c>
    </row>
    <row r="65" spans="1:2" ht="11.25" customHeight="1">
      <c r="A65" s="2"/>
      <c r="B65" s="2" t="s">
        <v>2829</v>
      </c>
    </row>
    <row r="66" spans="1:2" ht="11.25" customHeight="1">
      <c r="A66" s="2"/>
      <c r="B66" s="2" t="s">
        <v>2830</v>
      </c>
    </row>
    <row r="67" spans="1:2" ht="11.25" customHeight="1">
      <c r="A67" s="2"/>
      <c r="B67" s="2" t="s">
        <v>2831</v>
      </c>
    </row>
    <row r="68" spans="1:2" ht="11.25" customHeight="1">
      <c r="A68" s="2"/>
      <c r="B68" s="2" t="s">
        <v>2832</v>
      </c>
    </row>
    <row r="69" spans="1:2" ht="11.25" customHeight="1">
      <c r="A69" s="2"/>
      <c r="B69" s="2" t="s">
        <v>2833</v>
      </c>
    </row>
    <row r="70" spans="1:2" ht="11.25" customHeight="1">
      <c r="A70" s="2"/>
      <c r="B70" s="2" t="s">
        <v>2834</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523" customWidth="1"/>
    <col min="2" max="2" width="90.7109375" style="2523" customWidth="1"/>
    <col min="3" max="4" width="9.140625" style="2523"/>
  </cols>
  <sheetData>
    <row r="1" spans="2:4" ht="11.25" customHeight="1">
      <c r="B1" s="32" t="s">
        <v>2835</v>
      </c>
    </row>
    <row r="2" spans="2:4" ht="90" customHeight="1">
      <c r="B2" s="33" t="s">
        <v>2836</v>
      </c>
    </row>
    <row r="3" spans="2:4" ht="67.5" customHeight="1">
      <c r="B3" s="33" t="s">
        <v>2837</v>
      </c>
    </row>
    <row r="4" spans="2:4" ht="33.75" customHeight="1">
      <c r="B4" s="33" t="s">
        <v>2838</v>
      </c>
    </row>
    <row r="5" spans="2:4" ht="11.25" customHeight="1">
      <c r="B5" s="33" t="s">
        <v>2839</v>
      </c>
    </row>
    <row r="6" spans="2:4" ht="22.5" customHeight="1">
      <c r="B6" s="33" t="s">
        <v>2840</v>
      </c>
    </row>
    <row r="7" spans="2:4" ht="22.5" customHeight="1">
      <c r="B7" s="33" t="s">
        <v>2841</v>
      </c>
    </row>
    <row r="8" spans="2:4" ht="22.5" customHeight="1">
      <c r="B8" s="33" t="s">
        <v>2842</v>
      </c>
    </row>
    <row r="9" spans="2:4" ht="22.5" customHeight="1">
      <c r="B9" s="33" t="s">
        <v>2843</v>
      </c>
    </row>
    <row r="10" spans="2:4" ht="56.25" customHeight="1">
      <c r="B10" s="33" t="s">
        <v>2844</v>
      </c>
    </row>
    <row r="11" spans="2:4" ht="12.75" customHeight="1">
      <c r="B11" s="96" t="s">
        <v>2845</v>
      </c>
    </row>
    <row r="12" spans="2:4" ht="11.25" customHeight="1">
      <c r="B12" s="32" t="s">
        <v>2846</v>
      </c>
    </row>
    <row r="13" spans="2:4" ht="22.5" customHeight="1">
      <c r="B13" s="33" t="s">
        <v>2847</v>
      </c>
    </row>
    <row r="14" spans="2:4" ht="67.5" customHeight="1">
      <c r="B14" s="33" t="s">
        <v>2848</v>
      </c>
    </row>
    <row r="15" spans="2:4" ht="22.5" customHeight="1">
      <c r="B15" s="33" t="s">
        <v>2849</v>
      </c>
    </row>
    <row r="16" spans="2:4" ht="11.25" customHeight="1">
      <c r="B16" s="32" t="s">
        <v>2850</v>
      </c>
      <c r="D16" s="39"/>
    </row>
    <row r="17" spans="1:2" ht="33.75" customHeight="1">
      <c r="B17" s="33" t="s">
        <v>2851</v>
      </c>
    </row>
    <row r="18" spans="1:2" ht="33.75" customHeight="1">
      <c r="B18" s="33" t="s">
        <v>2852</v>
      </c>
    </row>
    <row r="19" spans="1:2" ht="11.25" customHeight="1">
      <c r="B19" s="33" t="s">
        <v>2853</v>
      </c>
    </row>
    <row r="20" spans="1:2" ht="33.75" customHeight="1">
      <c r="B20" s="33" t="s">
        <v>2854</v>
      </c>
    </row>
    <row r="21" spans="1:2" ht="11.25" customHeight="1">
      <c r="B21" s="32" t="s">
        <v>2855</v>
      </c>
    </row>
    <row r="22" spans="1:2" ht="11.25" customHeight="1">
      <c r="B22" s="33" t="s">
        <v>2856</v>
      </c>
    </row>
    <row r="24" spans="1:2" ht="22.5" customHeight="1">
      <c r="B24" s="98" t="s">
        <v>2857</v>
      </c>
    </row>
    <row r="26" spans="1:2" ht="11.25" customHeight="1">
      <c r="B26" s="32" t="s">
        <v>2858</v>
      </c>
    </row>
    <row r="27" spans="1:2" ht="22.5" customHeight="1">
      <c r="B27" s="97" t="s">
        <v>398</v>
      </c>
    </row>
    <row r="28" spans="1:2" ht="56.25" customHeight="1">
      <c r="B28" s="97" t="s">
        <v>2859</v>
      </c>
    </row>
    <row r="29" spans="1:2" ht="11.25" customHeight="1">
      <c r="B29" s="146" t="s">
        <v>2860</v>
      </c>
    </row>
    <row r="30" spans="1:2" ht="22.5" customHeight="1">
      <c r="B30" s="97" t="s">
        <v>2861</v>
      </c>
    </row>
    <row r="32" spans="1:2" ht="11.25" customHeight="1">
      <c r="A32" s="124"/>
      <c r="B32" s="125" t="s">
        <v>2862</v>
      </c>
    </row>
    <row r="33" spans="1:2" ht="14.25" customHeight="1">
      <c r="A33" s="126">
        <v>1</v>
      </c>
      <c r="B33" s="127" t="s">
        <v>2863</v>
      </c>
    </row>
    <row r="34" spans="1:2" ht="14.25" customHeight="1">
      <c r="A34" s="126">
        <v>2</v>
      </c>
      <c r="B34" s="127" t="s">
        <v>2864</v>
      </c>
    </row>
    <row r="35" spans="1:2" ht="11.25" customHeight="1">
      <c r="B35" s="125" t="s">
        <v>2865</v>
      </c>
    </row>
    <row r="36" spans="1:2" ht="11.25" customHeight="1">
      <c r="B36" s="127" t="s">
        <v>2866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511" hidden="1" customWidth="1"/>
    <col min="2" max="2" width="9.140625" style="2513" hidden="1" customWidth="1"/>
    <col min="3" max="3" width="3" style="2525" customWidth="1"/>
    <col min="4" max="4" width="5" style="2513" customWidth="1"/>
    <col min="5" max="5" width="38" style="2513" customWidth="1"/>
    <col min="6" max="7" width="3" style="2513" customWidth="1"/>
    <col min="8" max="8" width="38" style="2513" customWidth="1"/>
    <col min="9" max="9" width="35" style="2513" customWidth="1"/>
    <col min="10" max="10" width="103" style="2513" customWidth="1"/>
    <col min="11" max="11" width="3" style="2522" customWidth="1"/>
    <col min="12" max="14" width="10" style="2520" customWidth="1"/>
    <col min="15" max="15" width="13" style="2520" customWidth="1"/>
    <col min="16" max="16" width="15" style="2520" customWidth="1"/>
    <col min="17" max="17" width="16" style="2520" customWidth="1"/>
    <col min="18" max="21" width="10" style="2520" customWidth="1"/>
    <col min="22" max="22" width="10.5703125" style="2513" hidden="1"/>
  </cols>
  <sheetData>
    <row r="1" spans="1:22" ht="22.5" hidden="1" customHeight="1">
      <c r="E1" s="347"/>
      <c r="F1" s="347"/>
      <c r="G1" s="347"/>
      <c r="H1" s="2732" t="s">
        <v>354</v>
      </c>
      <c r="I1" s="2732"/>
      <c r="V1" s="1525" t="s">
        <v>14</v>
      </c>
    </row>
    <row r="2" spans="1:22" s="2513" customFormat="1" ht="14.25" hidden="1" customHeight="1">
      <c r="C2" s="1537"/>
      <c r="D2" s="2745" t="s">
        <v>108</v>
      </c>
      <c r="E2" s="2747"/>
      <c r="F2" s="1543"/>
      <c r="G2" s="1538" t="s">
        <v>108</v>
      </c>
      <c r="H2" s="1541"/>
      <c r="I2" s="1539"/>
      <c r="L2" s="1540"/>
      <c r="M2" s="1540"/>
      <c r="N2" s="1540"/>
      <c r="O2" s="1540" t="s">
        <v>384</v>
      </c>
      <c r="P2" s="1540"/>
      <c r="Q2" s="1540"/>
      <c r="R2" s="1542" t="s">
        <v>383</v>
      </c>
      <c r="S2" s="1542" t="s">
        <v>383</v>
      </c>
      <c r="T2" s="1540"/>
      <c r="U2" s="1540"/>
      <c r="V2" s="1536">
        <v>0</v>
      </c>
    </row>
    <row r="3" spans="1:22" s="2513" customFormat="1" ht="14.25" hidden="1" customHeight="1">
      <c r="C3" s="1537"/>
      <c r="D3" s="2746"/>
      <c r="E3" s="2748"/>
      <c r="F3" s="340"/>
      <c r="G3" s="794"/>
      <c r="H3" s="794" t="s">
        <v>385</v>
      </c>
      <c r="I3" s="249"/>
      <c r="L3" s="1540"/>
      <c r="M3" s="1540"/>
      <c r="N3" s="1540"/>
      <c r="O3" s="1540"/>
      <c r="P3" s="1540"/>
      <c r="Q3" s="1540"/>
      <c r="R3" s="1542"/>
      <c r="S3" s="1542"/>
      <c r="T3" s="1540"/>
      <c r="U3" s="1540"/>
      <c r="V3" s="1536">
        <v>0</v>
      </c>
    </row>
    <row r="4" spans="1:22" ht="14.25" hidden="1" customHeight="1">
      <c r="V4" s="1525">
        <v>0</v>
      </c>
    </row>
    <row r="5" spans="1:22" s="2543" customFormat="1" ht="5.25" customHeight="1">
      <c r="C5" s="636"/>
      <c r="D5" s="637"/>
      <c r="E5" s="637"/>
      <c r="F5" s="637"/>
      <c r="G5" s="637"/>
      <c r="H5" s="637" t="s">
        <v>358</v>
      </c>
      <c r="I5" s="637"/>
      <c r="J5" s="637"/>
      <c r="L5" s="1532"/>
      <c r="M5" s="1532"/>
      <c r="N5" s="1532"/>
      <c r="O5" s="1532"/>
      <c r="P5" s="1532"/>
      <c r="Q5" s="1532"/>
      <c r="R5" s="1532"/>
      <c r="S5" s="1532"/>
      <c r="T5" s="1532"/>
      <c r="U5" s="1532"/>
      <c r="V5" s="1531">
        <v>5</v>
      </c>
    </row>
    <row r="6" spans="1:22" ht="29.25" customHeight="1">
      <c r="C6" s="1434"/>
      <c r="D6" s="2749" t="s">
        <v>386</v>
      </c>
      <c r="E6" s="2749"/>
      <c r="F6" s="2749"/>
      <c r="G6" s="2749"/>
      <c r="H6" s="2749"/>
      <c r="I6" s="2749"/>
      <c r="J6" s="426"/>
      <c r="K6" s="1533"/>
      <c r="V6" s="1525">
        <v>28</v>
      </c>
    </row>
    <row r="7" spans="1:22" ht="18" customHeight="1">
      <c r="C7" s="1434"/>
      <c r="D7" s="2696" t="str">
        <f>IF(org=0,"Не определено",org)</f>
        <v>ООО "Ноябрьская ПГЭ"</v>
      </c>
      <c r="E7" s="2696"/>
      <c r="F7" s="2696"/>
      <c r="G7" s="2696"/>
      <c r="H7" s="2696"/>
      <c r="I7" s="2696"/>
      <c r="J7" s="426"/>
      <c r="K7" s="1533"/>
      <c r="V7" s="1525">
        <v>17</v>
      </c>
    </row>
    <row r="8" spans="1:22" s="2512"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512"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733" t="s">
        <v>302</v>
      </c>
      <c r="E10" s="2734"/>
      <c r="F10" s="2734"/>
      <c r="G10" s="2734"/>
      <c r="H10" s="2734"/>
      <c r="I10" s="2734"/>
      <c r="J10" s="2672" t="s">
        <v>303</v>
      </c>
      <c r="V10" s="1525">
        <v>14</v>
      </c>
    </row>
    <row r="11" spans="1:22" ht="27.4" customHeight="1">
      <c r="C11" s="1434"/>
      <c r="D11" s="2638" t="s">
        <v>87</v>
      </c>
      <c r="E11" s="2672" t="s">
        <v>104</v>
      </c>
      <c r="F11" s="2710" t="s">
        <v>87</v>
      </c>
      <c r="G11" s="2711"/>
      <c r="H11" s="2695" t="s">
        <v>387</v>
      </c>
      <c r="I11" s="2695" t="s">
        <v>388</v>
      </c>
      <c r="J11" s="2672"/>
      <c r="V11" s="1525">
        <v>26</v>
      </c>
    </row>
    <row r="12" spans="1:22" ht="14.65" customHeight="1">
      <c r="C12" s="1434"/>
      <c r="D12" s="2638"/>
      <c r="E12" s="2672"/>
      <c r="F12" s="2715"/>
      <c r="G12" s="2716"/>
      <c r="H12" s="2744"/>
      <c r="I12" s="2744"/>
      <c r="J12" s="2672"/>
      <c r="V12" s="1525">
        <v>14</v>
      </c>
    </row>
    <row r="13" spans="1:22" s="2544" customFormat="1" ht="11.25" hidden="1" customHeight="1">
      <c r="C13" s="433"/>
      <c r="D13" s="434" t="s">
        <v>378</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745" t="s">
        <v>108</v>
      </c>
      <c r="E14" s="2747"/>
      <c r="F14" s="1535"/>
      <c r="G14" s="1534" t="s">
        <v>108</v>
      </c>
      <c r="H14" s="1541"/>
      <c r="I14" s="1539"/>
      <c r="J14" s="2692" t="s">
        <v>389</v>
      </c>
      <c r="K14" s="1525"/>
      <c r="R14" s="435" t="s">
        <v>383</v>
      </c>
      <c r="S14" s="435" t="s">
        <v>383</v>
      </c>
      <c r="V14" s="1525">
        <v>14</v>
      </c>
    </row>
    <row r="15" spans="1:22" ht="14.65" customHeight="1">
      <c r="A15" s="1525"/>
      <c r="C15" s="1434"/>
      <c r="D15" s="2746"/>
      <c r="E15" s="2748"/>
      <c r="F15" s="340"/>
      <c r="G15" s="794"/>
      <c r="H15" s="794" t="s">
        <v>385</v>
      </c>
      <c r="I15" s="249"/>
      <c r="J15" s="2693"/>
      <c r="K15" s="1525"/>
      <c r="R15" s="435"/>
      <c r="S15" s="435"/>
      <c r="V15" s="1525">
        <v>14</v>
      </c>
    </row>
    <row r="16" spans="1:22" ht="14.65" customHeight="1">
      <c r="A16" s="1525"/>
      <c r="C16" s="1434"/>
      <c r="D16" s="340"/>
      <c r="E16" s="794" t="s">
        <v>120</v>
      </c>
      <c r="F16" s="249"/>
      <c r="G16" s="249"/>
      <c r="H16" s="341"/>
      <c r="I16" s="341"/>
      <c r="J16" s="2694"/>
      <c r="K16" s="1525"/>
      <c r="V16" s="1525">
        <v>14</v>
      </c>
    </row>
    <row r="17" spans="1:22" ht="14.65" customHeight="1">
      <c r="K17" s="1525"/>
      <c r="V17" s="1525">
        <v>14</v>
      </c>
    </row>
    <row r="18" spans="1:22" ht="22.5" hidden="1" customHeight="1">
      <c r="A18" s="1526" t="s">
        <v>81</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Забавчик Елена Александровна</cp:lastModifiedBy>
  <cp:lastPrinted>2013-08-29T08:11:20Z</cp:lastPrinted>
  <dcterms:created xsi:type="dcterms:W3CDTF">2004-05-21T07:18:45Z</dcterms:created>
  <dcterms:modified xsi:type="dcterms:W3CDTF">2024-10-24T09:49:42Z</dcterms:modified>
</cp:coreProperties>
</file>